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showInkAnnotation="0" codeName="ЭтаКнига" defaultThemeVersion="124226"/>
  <bookViews>
    <workbookView xWindow="0" yWindow="0" windowWidth="20490" windowHeight="7155"/>
  </bookViews>
  <sheets>
    <sheet name="Исходные данные" sheetId="1" r:id="rId1"/>
    <sheet name="Ключевые показатели" sheetId="4" r:id="rId2"/>
    <sheet name="Финансовая модель" sheetId="2" r:id="rId3"/>
    <sheet name="Динамика" sheetId="3" r:id="rId4"/>
  </sheets>
  <definedNames>
    <definedName name="_xlnm._FilterDatabase" localSheetId="0" hidden="1">'Исходные данные'!#REF!</definedName>
    <definedName name="аренда">'Исходные данные'!$J$10</definedName>
    <definedName name="бюджет">'Ключевые показатели'!$D$13</definedName>
    <definedName name="ВидРазмещения">'Исходные данные'!#REF!</definedName>
    <definedName name="ЕО">'Исходные данные'!#REF!</definedName>
    <definedName name="ЗарплатаСтавка">'Исходные данные'!$D$20</definedName>
    <definedName name="конверсия1">'Ключевые показатели'!$D$8</definedName>
    <definedName name="конверсия2">'Ключевые показатели'!$D$9</definedName>
    <definedName name="Коэфф">'Исходные данные'!#REF!</definedName>
    <definedName name="Коэфф2">'Исходные данные'!#REF!</definedName>
    <definedName name="Коэффициент">'Исходные данные'!#REF!</definedName>
    <definedName name="Курс">'Исходные данные'!$F$22</definedName>
    <definedName name="лид">'Ключевые показатели'!$D$6</definedName>
    <definedName name="Магазин">'Исходные данные'!#REF!</definedName>
    <definedName name="Налог">'Ключевые показатели'!$D$14</definedName>
    <definedName name="Ответы">'Исходные данные'!#REF!</definedName>
    <definedName name="отклонение1">'Исходные данные'!$J$11</definedName>
    <definedName name="Пакеты">'Исходные данные'!$E$23:$E$25</definedName>
    <definedName name="Паушальный">'Исходные данные'!$D$12</definedName>
    <definedName name="Печати">'Исходные данные'!#REF!</definedName>
    <definedName name="площадь">'Исходные данные'!$D$16</definedName>
    <definedName name="Продажник">'Исходные данные'!#REF!</definedName>
    <definedName name="Прочие">'Исходные данные'!#REF!</definedName>
    <definedName name="Размещение">'Исходные данные'!#REF!</definedName>
    <definedName name="Реклама">'Исходные данные'!#REF!</definedName>
    <definedName name="роялти">'Исходные данные'!$D$13</definedName>
    <definedName name="СреднийЧек">'Исходные данные'!$D$19</definedName>
    <definedName name="срок">'Исходные данные'!$D$15</definedName>
    <definedName name="ст">'Ключевые показатели'!$C$23</definedName>
    <definedName name="ст1">'Ключевые показатели'!$C$20</definedName>
    <definedName name="ст2">'Ключевые показатели'!$C$21</definedName>
    <definedName name="ст3">'Ключевые показатели'!$C$22</definedName>
    <definedName name="ст4">'Ключевые показатели'!$C$23</definedName>
    <definedName name="ст5">'Ключевые показатели'!$C$24</definedName>
    <definedName name="ставкаАренда">'Исходные данные'!$D$17</definedName>
    <definedName name="ФОТ">'Исходные данные'!#REF!</definedName>
  </definedNames>
  <calcPr calcId="152511"/>
</workbook>
</file>

<file path=xl/calcChain.xml><?xml version="1.0" encoding="utf-8"?>
<calcChain xmlns="http://schemas.openxmlformats.org/spreadsheetml/2006/main">
  <c r="C43" i="1" l="1"/>
  <c r="C26" i="1"/>
  <c r="F18" i="2" l="1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E18" i="2"/>
  <c r="D7" i="4"/>
  <c r="C44" i="1" l="1"/>
  <c r="C48" i="1" l="1"/>
  <c r="E13" i="2"/>
  <c r="F13" i="2"/>
  <c r="G13" i="2"/>
  <c r="H13" i="2"/>
  <c r="H7" i="2"/>
  <c r="G7" i="2"/>
  <c r="F7" i="2"/>
  <c r="E7" i="2"/>
  <c r="H12" i="2"/>
  <c r="E6" i="2"/>
  <c r="E12" i="2" l="1"/>
  <c r="D12" i="1"/>
  <c r="F12" i="2" l="1"/>
  <c r="G12" i="2"/>
  <c r="J12" i="1"/>
  <c r="J11" i="1"/>
  <c r="H17" i="2" s="1"/>
  <c r="C38" i="1"/>
  <c r="C37" i="1"/>
  <c r="D37" i="1" s="1"/>
  <c r="C31" i="1"/>
  <c r="D31" i="1" s="1"/>
  <c r="C28" i="1"/>
  <c r="D40" i="1"/>
  <c r="D42" i="1"/>
  <c r="D39" i="1"/>
  <c r="D41" i="1"/>
  <c r="D27" i="1"/>
  <c r="D29" i="1"/>
  <c r="D30" i="1"/>
  <c r="D32" i="1"/>
  <c r="D33" i="1"/>
  <c r="D34" i="1"/>
  <c r="D35" i="1"/>
  <c r="D36" i="1"/>
  <c r="D38" i="1"/>
  <c r="U17" i="2" l="1"/>
  <c r="Y17" i="2"/>
  <c r="R17" i="2"/>
  <c r="O17" i="2"/>
  <c r="K17" i="2"/>
  <c r="L17" i="2"/>
  <c r="T17" i="2"/>
  <c r="X17" i="2"/>
  <c r="AB17" i="2"/>
  <c r="P17" i="2"/>
  <c r="V17" i="2"/>
  <c r="Z17" i="2"/>
  <c r="S17" i="2"/>
  <c r="W17" i="2"/>
  <c r="AA17" i="2"/>
  <c r="Q17" i="2"/>
  <c r="M17" i="2"/>
  <c r="N17" i="2"/>
  <c r="J17" i="2"/>
  <c r="F17" i="2"/>
  <c r="I17" i="2"/>
  <c r="E17" i="2"/>
  <c r="G17" i="2"/>
  <c r="D28" i="1"/>
  <c r="D11" i="4"/>
  <c r="I6" i="2"/>
  <c r="J6" i="2"/>
  <c r="K6" i="2"/>
  <c r="L6" i="2"/>
  <c r="H6" i="2"/>
  <c r="G6" i="2"/>
  <c r="F6" i="2"/>
  <c r="O6" i="2"/>
  <c r="Q6" i="2"/>
  <c r="S6" i="2"/>
  <c r="T6" i="2"/>
  <c r="U6" i="2"/>
  <c r="W6" i="2"/>
  <c r="X6" i="2"/>
  <c r="Y6" i="2"/>
  <c r="M6" i="2"/>
  <c r="N6" i="2"/>
  <c r="P6" i="2"/>
  <c r="R6" i="2"/>
  <c r="V6" i="2"/>
  <c r="Z6" i="2"/>
  <c r="AA6" i="2"/>
  <c r="AB6" i="2"/>
  <c r="D43" i="1"/>
  <c r="D45" i="1"/>
  <c r="E14" i="2" l="1"/>
  <c r="F14" i="2"/>
  <c r="F20" i="2" l="1"/>
  <c r="F21" i="2"/>
  <c r="E20" i="2"/>
  <c r="E21" i="2"/>
  <c r="E19" i="2"/>
  <c r="F19" i="2"/>
  <c r="G14" i="2"/>
  <c r="H14" i="2"/>
  <c r="H20" i="2" l="1"/>
  <c r="H21" i="2"/>
  <c r="G21" i="2"/>
  <c r="G20" i="2"/>
  <c r="G19" i="2"/>
  <c r="H19" i="2"/>
  <c r="C23" i="1" l="1"/>
  <c r="D24" i="1" l="1"/>
  <c r="D25" i="1"/>
  <c r="D26" i="1"/>
  <c r="D46" i="1"/>
  <c r="D47" i="1"/>
  <c r="D23" i="1"/>
  <c r="AD3" i="2" l="1"/>
  <c r="E3" i="2" s="1"/>
  <c r="D14" i="2"/>
  <c r="F3" i="2" l="1"/>
  <c r="G3" i="2" l="1"/>
  <c r="H3" i="2" l="1"/>
  <c r="I3" i="2" l="1"/>
  <c r="I7" i="2" l="1"/>
  <c r="I13" i="2" s="1"/>
  <c r="J3" i="2"/>
  <c r="J7" i="2" s="1"/>
  <c r="J13" i="2" s="1"/>
  <c r="I12" i="2" l="1"/>
  <c r="I14" i="2" s="1"/>
  <c r="I20" i="2" s="1"/>
  <c r="K3" i="2"/>
  <c r="K7" i="2" s="1"/>
  <c r="K13" i="2" s="1"/>
  <c r="J12" i="2"/>
  <c r="J14" i="2" s="1"/>
  <c r="I19" i="2" l="1"/>
  <c r="I21" i="2"/>
  <c r="L3" i="2"/>
  <c r="L7" i="2" s="1"/>
  <c r="L13" i="2" s="1"/>
  <c r="K12" i="2"/>
  <c r="K14" i="2" s="1"/>
  <c r="J20" i="2"/>
  <c r="J21" i="2"/>
  <c r="J19" i="2"/>
  <c r="L12" i="2" l="1"/>
  <c r="L14" i="2" s="1"/>
  <c r="L19" i="2" s="1"/>
  <c r="M3" i="2"/>
  <c r="M7" i="2" s="1"/>
  <c r="M13" i="2" s="1"/>
  <c r="K20" i="2"/>
  <c r="K21" i="2"/>
  <c r="K19" i="2"/>
  <c r="M12" i="2" l="1"/>
  <c r="M14" i="2" s="1"/>
  <c r="M21" i="2" s="1"/>
  <c r="L20" i="2"/>
  <c r="L21" i="2"/>
  <c r="N3" i="2"/>
  <c r="N7" i="2" s="1"/>
  <c r="N13" i="2" s="1"/>
  <c r="M20" i="2" l="1"/>
  <c r="M19" i="2"/>
  <c r="O3" i="2"/>
  <c r="O7" i="2" s="1"/>
  <c r="O13" i="2" s="1"/>
  <c r="N12" i="2"/>
  <c r="N14" i="2" s="1"/>
  <c r="P3" i="2" l="1"/>
  <c r="P7" i="2" s="1"/>
  <c r="P13" i="2" s="1"/>
  <c r="N21" i="2"/>
  <c r="N19" i="2"/>
  <c r="N20" i="2"/>
  <c r="O12" i="2"/>
  <c r="O14" i="2" s="1"/>
  <c r="Q3" i="2" l="1"/>
  <c r="Q7" i="2" s="1"/>
  <c r="Q13" i="2" s="1"/>
  <c r="O19" i="2"/>
  <c r="O21" i="2"/>
  <c r="O20" i="2"/>
  <c r="P12" i="2"/>
  <c r="P14" i="2" s="1"/>
  <c r="P21" i="2" s="1"/>
  <c r="R3" i="2" l="1"/>
  <c r="R7" i="2" s="1"/>
  <c r="R13" i="2" s="1"/>
  <c r="P19" i="2"/>
  <c r="P20" i="2"/>
  <c r="Q12" i="2"/>
  <c r="Q14" i="2" s="1"/>
  <c r="S3" i="2" l="1"/>
  <c r="S7" i="2" s="1"/>
  <c r="S13" i="2" s="1"/>
  <c r="Q21" i="2"/>
  <c r="Q20" i="2"/>
  <c r="Q19" i="2"/>
  <c r="R12" i="2"/>
  <c r="R14" i="2" s="1"/>
  <c r="T3" i="2" l="1"/>
  <c r="T7" i="2" s="1"/>
  <c r="T13" i="2" s="1"/>
  <c r="R20" i="2"/>
  <c r="R21" i="2"/>
  <c r="R19" i="2"/>
  <c r="S12" i="2"/>
  <c r="S14" i="2" s="1"/>
  <c r="U3" i="2" l="1"/>
  <c r="U7" i="2" s="1"/>
  <c r="U13" i="2" s="1"/>
  <c r="S20" i="2"/>
  <c r="S19" i="2"/>
  <c r="S21" i="2"/>
  <c r="T12" i="2"/>
  <c r="T14" i="2" s="1"/>
  <c r="V3" i="2" l="1"/>
  <c r="V7" i="2" s="1"/>
  <c r="V13" i="2" s="1"/>
  <c r="T21" i="2"/>
  <c r="T19" i="2"/>
  <c r="T20" i="2"/>
  <c r="U12" i="2"/>
  <c r="U14" i="2" s="1"/>
  <c r="W3" i="2" l="1"/>
  <c r="W7" i="2" s="1"/>
  <c r="W13" i="2" s="1"/>
  <c r="U20" i="2"/>
  <c r="U19" i="2"/>
  <c r="U21" i="2"/>
  <c r="V12" i="2"/>
  <c r="V14" i="2" s="1"/>
  <c r="X3" i="2" l="1"/>
  <c r="X7" i="2" s="1"/>
  <c r="X13" i="2" s="1"/>
  <c r="V21" i="2"/>
  <c r="V19" i="2"/>
  <c r="V20" i="2"/>
  <c r="W12" i="2"/>
  <c r="W14" i="2" s="1"/>
  <c r="Y3" i="2" l="1"/>
  <c r="Y7" i="2" s="1"/>
  <c r="Y13" i="2" s="1"/>
  <c r="W19" i="2"/>
  <c r="W21" i="2"/>
  <c r="W20" i="2"/>
  <c r="X12" i="2"/>
  <c r="X14" i="2" s="1"/>
  <c r="Z3" i="2" l="1"/>
  <c r="Z7" i="2" s="1"/>
  <c r="Z13" i="2" s="1"/>
  <c r="X20" i="2"/>
  <c r="X19" i="2"/>
  <c r="X21" i="2"/>
  <c r="Y12" i="2"/>
  <c r="Y14" i="2" s="1"/>
  <c r="AA3" i="2" l="1"/>
  <c r="AA7" i="2" s="1"/>
  <c r="AA13" i="2" s="1"/>
  <c r="Y19" i="2"/>
  <c r="Y21" i="2"/>
  <c r="Y20" i="2"/>
  <c r="Z12" i="2"/>
  <c r="Z14" i="2" s="1"/>
  <c r="AB3" i="2" l="1"/>
  <c r="AB7" i="2" s="1"/>
  <c r="AB13" i="2" s="1"/>
  <c r="Z21" i="2"/>
  <c r="Z19" i="2"/>
  <c r="Z20" i="2"/>
  <c r="AA12" i="2"/>
  <c r="AA14" i="2" s="1"/>
  <c r="AB12" i="2" l="1"/>
  <c r="AB14" i="2" s="1"/>
  <c r="AB21" i="2" s="1"/>
  <c r="AA21" i="2"/>
  <c r="AA19" i="2"/>
  <c r="AA20" i="2"/>
  <c r="AB20" i="2" l="1"/>
  <c r="AB19" i="2"/>
  <c r="F25" i="2" l="1"/>
  <c r="G25" i="2"/>
  <c r="H25" i="2"/>
  <c r="E25" i="2"/>
  <c r="E27" i="2" s="1"/>
  <c r="J25" i="2"/>
  <c r="M25" i="2"/>
  <c r="Q25" i="2"/>
  <c r="X25" i="2"/>
  <c r="K25" i="2"/>
  <c r="L25" i="2"/>
  <c r="N25" i="2"/>
  <c r="R25" i="2"/>
  <c r="T25" i="2"/>
  <c r="U25" i="2"/>
  <c r="V25" i="2"/>
  <c r="Z25" i="2"/>
  <c r="AB25" i="2"/>
  <c r="O25" i="2"/>
  <c r="O27" i="2" s="1"/>
  <c r="P25" i="2"/>
  <c r="W25" i="2"/>
  <c r="W29" i="2" s="1"/>
  <c r="Y25" i="2"/>
  <c r="Y29" i="2" s="1"/>
  <c r="J10" i="1"/>
  <c r="D44" i="1"/>
  <c r="V29" i="2" l="1"/>
  <c r="V27" i="2"/>
  <c r="N29" i="2"/>
  <c r="N27" i="2"/>
  <c r="Q27" i="2"/>
  <c r="Q29" i="2"/>
  <c r="U27" i="2"/>
  <c r="U29" i="2"/>
  <c r="L27" i="2"/>
  <c r="L29" i="2"/>
  <c r="M27" i="2"/>
  <c r="M29" i="2"/>
  <c r="H29" i="2"/>
  <c r="H27" i="2"/>
  <c r="H31" i="2" s="1"/>
  <c r="AB29" i="2"/>
  <c r="AB27" i="2"/>
  <c r="T27" i="2"/>
  <c r="T29" i="2"/>
  <c r="K29" i="2"/>
  <c r="K27" i="2"/>
  <c r="J29" i="2"/>
  <c r="J27" i="2"/>
  <c r="G29" i="2"/>
  <c r="G27" i="2"/>
  <c r="P27" i="2"/>
  <c r="P29" i="2"/>
  <c r="Z29" i="2"/>
  <c r="Z27" i="2"/>
  <c r="R27" i="2"/>
  <c r="R29" i="2"/>
  <c r="X29" i="2"/>
  <c r="X27" i="2"/>
  <c r="F29" i="2"/>
  <c r="F27" i="2"/>
  <c r="F31" i="2" s="1"/>
  <c r="Y27" i="2"/>
  <c r="Y31" i="2" s="1"/>
  <c r="E29" i="2"/>
  <c r="E31" i="2" s="1"/>
  <c r="O29" i="2"/>
  <c r="O31" i="2" s="1"/>
  <c r="AA25" i="2"/>
  <c r="W27" i="2"/>
  <c r="W31" i="2" s="1"/>
  <c r="I25" i="2"/>
  <c r="S25" i="2"/>
  <c r="J31" i="2" l="1"/>
  <c r="V31" i="2"/>
  <c r="M31" i="2"/>
  <c r="U31" i="2"/>
  <c r="S29" i="2"/>
  <c r="S27" i="2"/>
  <c r="I27" i="2"/>
  <c r="I29" i="2"/>
  <c r="R31" i="2"/>
  <c r="P31" i="2"/>
  <c r="T31" i="2"/>
  <c r="L31" i="2"/>
  <c r="Q31" i="2"/>
  <c r="AA29" i="2"/>
  <c r="AA27" i="2"/>
  <c r="D33" i="2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D48" i="1"/>
  <c r="X31" i="2"/>
  <c r="Z31" i="2"/>
  <c r="G31" i="2"/>
  <c r="K31" i="2"/>
  <c r="AB31" i="2"/>
  <c r="N31" i="2"/>
  <c r="S31" i="2" l="1"/>
  <c r="S33" i="2"/>
  <c r="T33" i="2" s="1"/>
  <c r="U33" i="2" s="1"/>
  <c r="V33" i="2" s="1"/>
  <c r="W33" i="2" s="1"/>
  <c r="X33" i="2" s="1"/>
  <c r="Y33" i="2" s="1"/>
  <c r="Z33" i="2" s="1"/>
  <c r="AA33" i="2" s="1"/>
  <c r="AB33" i="2" s="1"/>
  <c r="AA31" i="2"/>
  <c r="I31" i="2"/>
</calcChain>
</file>

<file path=xl/sharedStrings.xml><?xml version="1.0" encoding="utf-8"?>
<sst xmlns="http://schemas.openxmlformats.org/spreadsheetml/2006/main" count="109" uniqueCount="102">
  <si>
    <t>Первоначальные затраты на запуск</t>
  </si>
  <si>
    <t>ИТОГО</t>
  </si>
  <si>
    <t>Финансовая модель</t>
  </si>
  <si>
    <t>Доходы</t>
  </si>
  <si>
    <t>Расходы</t>
  </si>
  <si>
    <t>Итого доходы</t>
  </si>
  <si>
    <t>Итого расходы</t>
  </si>
  <si>
    <t>Прибыль без учета налогов</t>
  </si>
  <si>
    <t>Чистая прибыль нарастающим итогом</t>
  </si>
  <si>
    <t>Месяц</t>
  </si>
  <si>
    <t>Запуск</t>
  </si>
  <si>
    <t>Год 1</t>
  </si>
  <si>
    <t>Год 2</t>
  </si>
  <si>
    <t>Налог</t>
  </si>
  <si>
    <t>Прибыль</t>
  </si>
  <si>
    <t>Связь (телефон, интернет)</t>
  </si>
  <si>
    <t>Вложения в рекламу на старте</t>
  </si>
  <si>
    <t>Паушальный взнос</t>
  </si>
  <si>
    <t>руб.</t>
  </si>
  <si>
    <t>$</t>
  </si>
  <si>
    <t>Денежный резерв</t>
  </si>
  <si>
    <t>Ключевые показатели бизнеса</t>
  </si>
  <si>
    <t>Стоимость, руб</t>
  </si>
  <si>
    <t>Количество привлеченных заявок</t>
  </si>
  <si>
    <t>Количество продаж</t>
  </si>
  <si>
    <t>Расходы на связь</t>
  </si>
  <si>
    <t>Регистрация юр.лица</t>
  </si>
  <si>
    <t>Для корректной работы финансовой модели включите макросы в верхнем меню (программа должна сама предложить это сделать)</t>
  </si>
  <si>
    <t>Стоимость товаров/услуг</t>
  </si>
  <si>
    <t>Товар/Услуга</t>
  </si>
  <si>
    <t>Ключевые показатели бизнеса и стоимость товаров/услуг</t>
  </si>
  <si>
    <t>Стоимость заявки</t>
  </si>
  <si>
    <t>Стоимость клиента</t>
  </si>
  <si>
    <t>Прибыль с одной сделки</t>
  </si>
  <si>
    <t>Средний чек</t>
  </si>
  <si>
    <t xml:space="preserve"> - курс доллара по ЦБ =</t>
  </si>
  <si>
    <t>(введите курс доллара)</t>
  </si>
  <si>
    <t>Исходные данные</t>
  </si>
  <si>
    <t>Введите численность населения в вашем городе</t>
  </si>
  <si>
    <t>Роялти</t>
  </si>
  <si>
    <t>Введите исходные данные. Цветом отмечены:</t>
  </si>
  <si>
    <t>- ячейки, которые необходимо заполнить</t>
  </si>
  <si>
    <t>- ячейки, которые не редактируются</t>
  </si>
  <si>
    <t>Стандарт</t>
  </si>
  <si>
    <t>Площадь помещения, кв.м.</t>
  </si>
  <si>
    <t>Без выезда</t>
  </si>
  <si>
    <t>- в данном разделе указана рекомендуемая стоимость услугидля городов с разной численностью населения. Вы можете указать свою стоимость среднего чека в рублях</t>
  </si>
  <si>
    <t>- укажите среднюю ставку сотрудника</t>
  </si>
  <si>
    <t>Средний чек на услугу, руб.</t>
  </si>
  <si>
    <t>Выберите формат размещения</t>
  </si>
  <si>
    <t>Срок запуска, мес</t>
  </si>
  <si>
    <t>Ремонт</t>
  </si>
  <si>
    <t>Аренда</t>
  </si>
  <si>
    <t>Расходный материал</t>
  </si>
  <si>
    <t>Услуга1</t>
  </si>
  <si>
    <t>Услуга2</t>
  </si>
  <si>
    <t>Услуга3</t>
  </si>
  <si>
    <t>Услуга4</t>
  </si>
  <si>
    <t>Реклама</t>
  </si>
  <si>
    <t>Налоговая ставка</t>
  </si>
  <si>
    <t>Зарплата</t>
  </si>
  <si>
    <t>Расходные материалы</t>
  </si>
  <si>
    <t>Сумма продаж</t>
  </si>
  <si>
    <t>Повторные продажи</t>
  </si>
  <si>
    <t>3% от оборота</t>
  </si>
  <si>
    <t>Средний уровень зарплаты в вашем городе</t>
  </si>
  <si>
    <t>- рекомендуемая площадь помещения от 50 до 60 кв.м.</t>
  </si>
  <si>
    <t>Ларь морозильный</t>
  </si>
  <si>
    <t>Плита индукционная 4х конфорочная</t>
  </si>
  <si>
    <t>Блендер шнековый</t>
  </si>
  <si>
    <t>Ванна моечная 2х секционная</t>
  </si>
  <si>
    <t>Зонт вытяжной</t>
  </si>
  <si>
    <t>Пароконвектомат</t>
  </si>
  <si>
    <t>Печь</t>
  </si>
  <si>
    <t>Заипаватель</t>
  </si>
  <si>
    <t>Пароварка</t>
  </si>
  <si>
    <t>Прочая кухонная утварь</t>
  </si>
  <si>
    <t>Оборудование для кухни</t>
  </si>
  <si>
    <t>Кассовый аппарат с ПО</t>
  </si>
  <si>
    <t>Офисное оборудование (компьютер+принтер)</t>
  </si>
  <si>
    <t>Шкаф холодильный (2шт)</t>
  </si>
  <si>
    <t>Стол производственный (5 шт)</t>
  </si>
  <si>
    <t>Весы производственные CAS/Штрих (2 шт)</t>
  </si>
  <si>
    <t>Стеллаж (2 шт)</t>
  </si>
  <si>
    <t>Окупаемость проекта - 4 месяца</t>
  </si>
  <si>
    <t>Бюджет на рекламу (первые месяца работы)</t>
  </si>
  <si>
    <t>Конверсия1 (из посетителя сайта в заявку)</t>
  </si>
  <si>
    <t>Конверсия2 (из заявки в продажу)</t>
  </si>
  <si>
    <t>% повторных покупок</t>
  </si>
  <si>
    <t>Продукты</t>
  </si>
  <si>
    <t>Коммунальные услуги</t>
  </si>
  <si>
    <t>Финансовая модель Fitness Food</t>
  </si>
  <si>
    <t>Программа "Масса"</t>
  </si>
  <si>
    <t>Программа "Detox"</t>
  </si>
  <si>
    <t>Программа "Light"</t>
  </si>
  <si>
    <t>Программа "Fitness"</t>
  </si>
  <si>
    <t>Пробный заказ</t>
  </si>
  <si>
    <t>аренда помещения</t>
  </si>
  <si>
    <t>аренда действ. кафе</t>
  </si>
  <si>
    <t>Выберите наиболее удобный формат аренды</t>
  </si>
  <si>
    <t>Cредняя стоимость аренды 1 м.кв. в Вашем городе</t>
  </si>
  <si>
    <t xml:space="preserve">- Вы можете арендовать как свободное помещение, так и действующее кафе. Во втором случае существенно уменьшатся затраны на оборудование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</si>
</sst>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;@"/>
    <numFmt numFmtId="165" formatCode="0.0%"/>
    <numFmt numFmtId="166" formatCode="#,##0.00\ &quot;₽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C6A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CFF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6FA8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horizontal="left" wrapText="1"/>
    </xf>
    <xf numFmtId="0" fontId="0" fillId="3" borderId="0" xfId="0" applyFill="1" applyAlignment="1"/>
    <xf numFmtId="0" fontId="10" fillId="3" borderId="4" xfId="0" applyFont="1" applyFill="1" applyBorder="1" applyAlignment="1">
      <alignment wrapText="1"/>
    </xf>
    <xf numFmtId="0" fontId="0" fillId="3" borderId="1" xfId="0" applyFill="1" applyBorder="1" applyAlignment="1"/>
    <xf numFmtId="0" fontId="10" fillId="3" borderId="0" xfId="0" applyFont="1" applyFill="1" applyBorder="1" applyAlignment="1">
      <alignment wrapText="1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/>
    <xf numFmtId="0" fontId="0" fillId="4" borderId="1" xfId="0" applyFill="1" applyBorder="1" applyAlignment="1">
      <alignment horizontal="center"/>
    </xf>
    <xf numFmtId="2" fontId="0" fillId="3" borderId="1" xfId="0" applyNumberFormat="1" applyFill="1" applyBorder="1" applyAlignment="1"/>
    <xf numFmtId="14" fontId="0" fillId="0" borderId="0" xfId="0" applyNumberFormat="1"/>
    <xf numFmtId="164" fontId="0" fillId="4" borderId="1" xfId="0" applyNumberFormat="1" applyFill="1" applyBorder="1" applyAlignment="1">
      <alignment horizontal="center"/>
    </xf>
    <xf numFmtId="0" fontId="4" fillId="3" borderId="0" xfId="0" applyFont="1" applyFill="1"/>
    <xf numFmtId="0" fontId="4" fillId="0" borderId="0" xfId="0" applyFont="1"/>
    <xf numFmtId="0" fontId="7" fillId="0" borderId="0" xfId="0" applyFont="1"/>
    <xf numFmtId="0" fontId="4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/>
    <xf numFmtId="1" fontId="0" fillId="3" borderId="1" xfId="0" applyNumberFormat="1" applyFill="1" applyBorder="1" applyAlignment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11" fillId="3" borderId="0" xfId="0" quotePrefix="1" applyFont="1" applyFill="1" applyAlignment="1">
      <alignment vertical="center"/>
    </xf>
    <xf numFmtId="0" fontId="9" fillId="3" borderId="0" xfId="0" applyFont="1" applyFill="1"/>
    <xf numFmtId="0" fontId="0" fillId="3" borderId="0" xfId="0" applyFill="1" applyAlignment="1">
      <alignment horizontal="center" vertical="center" wrapText="1"/>
    </xf>
    <xf numFmtId="0" fontId="6" fillId="6" borderId="1" xfId="0" applyFont="1" applyFill="1" applyBorder="1" applyAlignment="1">
      <alignment vertical="center"/>
    </xf>
    <xf numFmtId="0" fontId="5" fillId="8" borderId="1" xfId="0" applyFont="1" applyFill="1" applyBorder="1" applyAlignment="1"/>
    <xf numFmtId="2" fontId="5" fillId="8" borderId="1" xfId="0" applyNumberFormat="1" applyFont="1" applyFill="1" applyBorder="1" applyAlignment="1"/>
    <xf numFmtId="1" fontId="6" fillId="7" borderId="1" xfId="0" applyNumberFormat="1" applyFont="1" applyFill="1" applyBorder="1" applyAlignment="1">
      <alignment vertical="center"/>
    </xf>
    <xf numFmtId="1" fontId="0" fillId="0" borderId="0" xfId="0" applyNumberFormat="1"/>
    <xf numFmtId="0" fontId="6" fillId="3" borderId="0" xfId="0" applyFont="1" applyFill="1" applyAlignment="1">
      <alignment wrapText="1"/>
    </xf>
    <xf numFmtId="0" fontId="6" fillId="3" borderId="0" xfId="0" applyFont="1" applyFill="1" applyAlignment="1"/>
    <xf numFmtId="0" fontId="7" fillId="3" borderId="0" xfId="0" applyFont="1" applyFill="1"/>
    <xf numFmtId="1" fontId="0" fillId="3" borderId="0" xfId="0" applyNumberFormat="1" applyFill="1"/>
    <xf numFmtId="3" fontId="10" fillId="10" borderId="1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2" fillId="9" borderId="23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1" fillId="3" borderId="0" xfId="0" quotePrefix="1" applyFont="1" applyFill="1"/>
    <xf numFmtId="3" fontId="6" fillId="10" borderId="24" xfId="0" applyNumberFormat="1" applyFont="1" applyFill="1" applyBorder="1" applyAlignment="1">
      <alignment horizontal="center" vertical="center"/>
    </xf>
    <xf numFmtId="3" fontId="10" fillId="10" borderId="29" xfId="0" applyNumberFormat="1" applyFont="1" applyFill="1" applyBorder="1" applyAlignment="1">
      <alignment horizontal="center" vertical="center"/>
    </xf>
    <xf numFmtId="3" fontId="10" fillId="10" borderId="31" xfId="0" applyNumberFormat="1" applyFont="1" applyFill="1" applyBorder="1" applyAlignment="1">
      <alignment horizontal="center" vertical="center"/>
    </xf>
    <xf numFmtId="3" fontId="10" fillId="10" borderId="30" xfId="0" applyNumberFormat="1" applyFont="1" applyFill="1" applyBorder="1" applyAlignment="1">
      <alignment horizontal="center" vertical="center"/>
    </xf>
    <xf numFmtId="0" fontId="12" fillId="9" borderId="32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3" fontId="10" fillId="10" borderId="24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0" fontId="3" fillId="3" borderId="5" xfId="0" applyFont="1" applyFill="1" applyBorder="1" applyAlignment="1"/>
    <xf numFmtId="0" fontId="8" fillId="0" borderId="20" xfId="0" applyFont="1" applyBorder="1" applyAlignment="1">
      <alignment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1" fillId="3" borderId="0" xfId="0" applyFont="1" applyFill="1"/>
    <xf numFmtId="3" fontId="6" fillId="10" borderId="38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2" fillId="9" borderId="16" xfId="0" applyFont="1" applyFill="1" applyBorder="1" applyAlignment="1">
      <alignment vertical="center" wrapText="1"/>
    </xf>
    <xf numFmtId="0" fontId="18" fillId="7" borderId="0" xfId="0" applyFont="1" applyFill="1" applyAlignment="1"/>
    <xf numFmtId="0" fontId="11" fillId="3" borderId="0" xfId="0" quotePrefix="1" applyFont="1" applyFill="1" applyBorder="1" applyAlignment="1">
      <alignment horizontal="left"/>
    </xf>
    <xf numFmtId="3" fontId="10" fillId="7" borderId="10" xfId="0" applyNumberFormat="1" applyFont="1" applyFill="1" applyBorder="1" applyAlignment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  <protection locked="0"/>
    </xf>
    <xf numFmtId="0" fontId="10" fillId="10" borderId="39" xfId="0" applyFont="1" applyFill="1" applyBorder="1" applyAlignment="1" applyProtection="1">
      <alignment horizontal="center" vertical="center"/>
      <protection locked="0"/>
    </xf>
    <xf numFmtId="166" fontId="5" fillId="7" borderId="19" xfId="0" applyNumberFormat="1" applyFont="1" applyFill="1" applyBorder="1" applyAlignment="1">
      <alignment horizontal="center"/>
    </xf>
    <xf numFmtId="0" fontId="10" fillId="7" borderId="39" xfId="0" applyFont="1" applyFill="1" applyBorder="1" applyAlignment="1" applyProtection="1">
      <alignment horizontal="center" vertical="center"/>
      <protection locked="0"/>
    </xf>
    <xf numFmtId="0" fontId="14" fillId="9" borderId="1" xfId="0" applyFont="1" applyFill="1" applyBorder="1" applyAlignment="1">
      <alignment vertical="center"/>
    </xf>
    <xf numFmtId="1" fontId="14" fillId="9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3" borderId="0" xfId="0" applyFont="1" applyFill="1" applyBorder="1" applyAlignment="1"/>
    <xf numFmtId="9" fontId="10" fillId="10" borderId="24" xfId="2" applyFont="1" applyFill="1" applyBorder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10" fillId="7" borderId="41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vertical="center" wrapText="1"/>
    </xf>
    <xf numFmtId="0" fontId="10" fillId="0" borderId="13" xfId="0" applyFont="1" applyBorder="1" applyAlignment="1">
      <alignment horizontal="left" vertical="center" wrapText="1" indent="2"/>
    </xf>
    <xf numFmtId="3" fontId="6" fillId="10" borderId="10" xfId="0" applyNumberFormat="1" applyFont="1" applyFill="1" applyBorder="1" applyAlignment="1">
      <alignment horizontal="center" vertical="center"/>
    </xf>
    <xf numFmtId="0" fontId="22" fillId="3" borderId="0" xfId="0" applyFont="1" applyFill="1"/>
    <xf numFmtId="3" fontId="23" fillId="10" borderId="31" xfId="0" applyNumberFormat="1" applyFont="1" applyFill="1" applyBorder="1" applyAlignment="1">
      <alignment horizontal="center" vertical="center"/>
    </xf>
    <xf numFmtId="9" fontId="0" fillId="3" borderId="0" xfId="2" applyFont="1" applyFill="1" applyAlignment="1">
      <alignment vertical="center"/>
    </xf>
    <xf numFmtId="0" fontId="1" fillId="3" borderId="0" xfId="0" applyFont="1" applyFill="1" applyBorder="1" applyAlignment="1"/>
    <xf numFmtId="0" fontId="20" fillId="3" borderId="0" xfId="0" applyFont="1" applyFill="1" applyBorder="1" applyAlignment="1"/>
    <xf numFmtId="3" fontId="24" fillId="10" borderId="10" xfId="0" applyNumberFormat="1" applyFont="1" applyFill="1" applyBorder="1" applyAlignment="1">
      <alignment horizontal="center" vertical="center"/>
    </xf>
    <xf numFmtId="3" fontId="24" fillId="10" borderId="34" xfId="0" applyNumberFormat="1" applyFont="1" applyFill="1" applyBorder="1" applyAlignment="1">
      <alignment horizontal="center" vertical="center"/>
    </xf>
    <xf numFmtId="3" fontId="24" fillId="10" borderId="31" xfId="0" applyNumberFormat="1" applyFont="1" applyFill="1" applyBorder="1" applyAlignment="1">
      <alignment horizontal="center" vertical="center"/>
    </xf>
    <xf numFmtId="3" fontId="24" fillId="10" borderId="35" xfId="0" applyNumberFormat="1" applyFont="1" applyFill="1" applyBorder="1" applyAlignment="1">
      <alignment horizontal="center" vertical="center"/>
    </xf>
    <xf numFmtId="9" fontId="24" fillId="10" borderId="31" xfId="2" applyFont="1" applyFill="1" applyBorder="1" applyAlignment="1">
      <alignment horizontal="center" vertical="center"/>
    </xf>
    <xf numFmtId="165" fontId="24" fillId="10" borderId="31" xfId="2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6" fillId="3" borderId="0" xfId="0" applyFont="1" applyFill="1" applyAlignment="1">
      <alignment horizontal="center" vertical="center" wrapText="1"/>
    </xf>
    <xf numFmtId="0" fontId="26" fillId="6" borderId="0" xfId="0" applyFont="1" applyFill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5" fillId="11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4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left" wrapText="1"/>
    </xf>
    <xf numFmtId="0" fontId="6" fillId="5" borderId="15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 wrapText="1"/>
    </xf>
    <xf numFmtId="0" fontId="6" fillId="6" borderId="6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1" fontId="6" fillId="7" borderId="6" xfId="0" applyNumberFormat="1" applyFont="1" applyFill="1" applyBorder="1" applyAlignment="1">
      <alignment horizontal="left" vertical="center" wrapText="1"/>
    </xf>
    <xf numFmtId="1" fontId="6" fillId="7" borderId="15" xfId="0" applyNumberFormat="1" applyFont="1" applyFill="1" applyBorder="1" applyAlignment="1">
      <alignment horizontal="left" vertical="center" wrapText="1"/>
    </xf>
    <xf numFmtId="1" fontId="6" fillId="7" borderId="7" xfId="0" applyNumberFormat="1" applyFont="1" applyFill="1" applyBorder="1" applyAlignment="1">
      <alignment horizontal="left" vertical="center" wrapText="1"/>
    </xf>
    <xf numFmtId="0" fontId="14" fillId="9" borderId="6" xfId="0" applyFont="1" applyFill="1" applyBorder="1" applyAlignment="1">
      <alignment horizontal="left" vertical="center" wrapText="1"/>
    </xf>
    <xf numFmtId="0" fontId="14" fillId="9" borderId="15" xfId="0" applyFont="1" applyFill="1" applyBorder="1" applyAlignment="1">
      <alignment horizontal="left" vertical="center" wrapText="1"/>
    </xf>
    <xf numFmtId="0" fontId="14" fillId="9" borderId="7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wrapText="1"/>
    </xf>
    <xf numFmtId="0" fontId="13" fillId="9" borderId="16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colors>
    <mruColors>
      <color rgb="FF86FA8C"/>
      <color rgb="FFFCFF89"/>
      <color rgb="FF78FC88"/>
      <color rgb="FF960000"/>
      <color rgb="FFA40000"/>
      <color rgb="FFFAF527"/>
      <color rgb="FFC0C0C8"/>
      <color rgb="FFFC8CC7"/>
      <color rgb="FFFEFFDD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Доходы</a:t>
            </a:r>
            <a:r>
              <a:rPr lang="ru-RU" baseline="0"/>
              <a:t> - расходы</a:t>
            </a:r>
            <a:endParaRPr lang="ru-RU"/>
          </a:p>
        </c:rich>
      </c:tx>
      <c:layout>
        <c:manualLayout>
          <c:xMode val="edge"/>
          <c:yMode val="edge"/>
          <c:x val="0.38765145011079222"/>
          <c:y val="3.24074074074074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Доходы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'Финансовая модель'!$E$14:$AB$14</c:f>
              <c:numCache>
                <c:formatCode>0.00</c:formatCode>
                <c:ptCount val="24"/>
                <c:pt idx="0">
                  <c:v>210030</c:v>
                </c:pt>
                <c:pt idx="1">
                  <c:v>315045</c:v>
                </c:pt>
                <c:pt idx="2">
                  <c:v>420060</c:v>
                </c:pt>
                <c:pt idx="3">
                  <c:v>472567.5</c:v>
                </c:pt>
                <c:pt idx="4">
                  <c:v>367552.5</c:v>
                </c:pt>
                <c:pt idx="5">
                  <c:v>525075</c:v>
                </c:pt>
                <c:pt idx="6">
                  <c:v>630090</c:v>
                </c:pt>
                <c:pt idx="7">
                  <c:v>525075</c:v>
                </c:pt>
                <c:pt idx="8">
                  <c:v>630090</c:v>
                </c:pt>
                <c:pt idx="9">
                  <c:v>588084</c:v>
                </c:pt>
                <c:pt idx="10">
                  <c:v>567081</c:v>
                </c:pt>
                <c:pt idx="11">
                  <c:v>630090</c:v>
                </c:pt>
                <c:pt idx="12">
                  <c:v>735105</c:v>
                </c:pt>
                <c:pt idx="13">
                  <c:v>756108</c:v>
                </c:pt>
                <c:pt idx="14">
                  <c:v>840120</c:v>
                </c:pt>
                <c:pt idx="15">
                  <c:v>735105</c:v>
                </c:pt>
                <c:pt idx="16">
                  <c:v>756108</c:v>
                </c:pt>
                <c:pt idx="17">
                  <c:v>693099</c:v>
                </c:pt>
                <c:pt idx="18">
                  <c:v>651093</c:v>
                </c:pt>
                <c:pt idx="19">
                  <c:v>630090</c:v>
                </c:pt>
                <c:pt idx="20">
                  <c:v>714102</c:v>
                </c:pt>
                <c:pt idx="21">
                  <c:v>735105</c:v>
                </c:pt>
                <c:pt idx="22">
                  <c:v>756108</c:v>
                </c:pt>
                <c:pt idx="23">
                  <c:v>756108</c:v>
                </c:pt>
              </c:numCache>
            </c:numRef>
          </c:val>
          <c:smooth val="0"/>
        </c:ser>
        <c:ser>
          <c:idx val="1"/>
          <c:order val="1"/>
          <c:tx>
            <c:v>Расходы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'Финансовая модель'!$E$25:$AB$25</c:f>
              <c:numCache>
                <c:formatCode>General</c:formatCode>
                <c:ptCount val="24"/>
                <c:pt idx="0">
                  <c:v>223445.63333333333</c:v>
                </c:pt>
                <c:pt idx="1">
                  <c:v>306501.78333333333</c:v>
                </c:pt>
                <c:pt idx="2">
                  <c:v>339557.93333333335</c:v>
                </c:pt>
                <c:pt idx="3">
                  <c:v>346086.0083333333</c:v>
                </c:pt>
                <c:pt idx="4">
                  <c:v>303029.8583333334</c:v>
                </c:pt>
                <c:pt idx="5">
                  <c:v>367614.08333333337</c:v>
                </c:pt>
                <c:pt idx="6">
                  <c:v>445670.2333333334</c:v>
                </c:pt>
                <c:pt idx="7">
                  <c:v>402614.08333333337</c:v>
                </c:pt>
                <c:pt idx="8">
                  <c:v>445670.2333333334</c:v>
                </c:pt>
                <c:pt idx="9">
                  <c:v>428447.77333333332</c:v>
                </c:pt>
                <c:pt idx="10">
                  <c:v>419836.54333333333</c:v>
                </c:pt>
                <c:pt idx="11">
                  <c:v>445670.2333333334</c:v>
                </c:pt>
                <c:pt idx="12">
                  <c:v>488726.3833333333</c:v>
                </c:pt>
                <c:pt idx="13">
                  <c:v>497337.61333333328</c:v>
                </c:pt>
                <c:pt idx="14">
                  <c:v>531782.53333333333</c:v>
                </c:pt>
                <c:pt idx="15">
                  <c:v>488726.3833333333</c:v>
                </c:pt>
                <c:pt idx="16">
                  <c:v>497337.61333333328</c:v>
                </c:pt>
                <c:pt idx="17">
                  <c:v>471503.92333333334</c:v>
                </c:pt>
                <c:pt idx="18">
                  <c:v>454281.46333333338</c:v>
                </c:pt>
                <c:pt idx="19">
                  <c:v>445670.2333333334</c:v>
                </c:pt>
                <c:pt idx="20">
                  <c:v>480115.15333333332</c:v>
                </c:pt>
                <c:pt idx="21">
                  <c:v>488726.3833333333</c:v>
                </c:pt>
                <c:pt idx="22">
                  <c:v>497337.61333333328</c:v>
                </c:pt>
                <c:pt idx="23">
                  <c:v>497337.61333333328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306896"/>
        <c:axId val="193307680"/>
      </c:lineChart>
      <c:catAx>
        <c:axId val="193306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Период,</a:t>
                </a:r>
                <a:r>
                  <a:rPr lang="ru-RU" baseline="0"/>
                  <a:t> мес.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307680"/>
        <c:crosses val="autoZero"/>
        <c:auto val="1"/>
        <c:lblAlgn val="ctr"/>
        <c:lblOffset val="100"/>
        <c:noMultiLvlLbl val="0"/>
      </c:catAx>
      <c:valAx>
        <c:axId val="19330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Сумма, руб.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&quot;р.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30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Прибыль</a:t>
            </a:r>
          </a:p>
        </c:rich>
      </c:tx>
      <c:layout>
        <c:manualLayout>
          <c:xMode val="edge"/>
          <c:yMode val="edge"/>
          <c:x val="0.36708719040378252"/>
          <c:y val="2.2346368715083803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  <a:alpha val="92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8939391114980025E-3"/>
                  <c:y val="0.17923531689686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&quot;р.&quot;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overflow" horzOverflow="overflow" wrap="square" lIns="38100" tIns="19050" rIns="38100" bIns="19050" anchor="b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'Финансовая модель'!$E$27:$AB$27</c:f>
              <c:numCache>
                <c:formatCode>General</c:formatCode>
                <c:ptCount val="24"/>
                <c:pt idx="0">
                  <c:v>-13415.633333333331</c:v>
                </c:pt>
                <c:pt idx="1">
                  <c:v>8543.2166666666744</c:v>
                </c:pt>
                <c:pt idx="2">
                  <c:v>80502.066666666651</c:v>
                </c:pt>
                <c:pt idx="3">
                  <c:v>126481.4916666667</c:v>
                </c:pt>
                <c:pt idx="4">
                  <c:v>64522.641666666605</c:v>
                </c:pt>
                <c:pt idx="5">
                  <c:v>157460.91666666663</c:v>
                </c:pt>
                <c:pt idx="6">
                  <c:v>184419.7666666666</c:v>
                </c:pt>
                <c:pt idx="7">
                  <c:v>122460.91666666663</c:v>
                </c:pt>
                <c:pt idx="8">
                  <c:v>184419.7666666666</c:v>
                </c:pt>
                <c:pt idx="9">
                  <c:v>159636.22666666668</c:v>
                </c:pt>
                <c:pt idx="10">
                  <c:v>147244.45666666667</c:v>
                </c:pt>
                <c:pt idx="11">
                  <c:v>184419.7666666666</c:v>
                </c:pt>
                <c:pt idx="12">
                  <c:v>246378.6166666667</c:v>
                </c:pt>
                <c:pt idx="13">
                  <c:v>258770.38666666672</c:v>
                </c:pt>
                <c:pt idx="14">
                  <c:v>308337.46666666667</c:v>
                </c:pt>
                <c:pt idx="15">
                  <c:v>246378.6166666667</c:v>
                </c:pt>
                <c:pt idx="16">
                  <c:v>258770.38666666672</c:v>
                </c:pt>
                <c:pt idx="17">
                  <c:v>221595.07666666666</c:v>
                </c:pt>
                <c:pt idx="18">
                  <c:v>196811.53666666662</c:v>
                </c:pt>
                <c:pt idx="19">
                  <c:v>184419.7666666666</c:v>
                </c:pt>
                <c:pt idx="20">
                  <c:v>233986.84666666668</c:v>
                </c:pt>
                <c:pt idx="21">
                  <c:v>246378.6166666667</c:v>
                </c:pt>
                <c:pt idx="22">
                  <c:v>258770.38666666672</c:v>
                </c:pt>
                <c:pt idx="23">
                  <c:v>258770.38666666672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gapDepth val="465"/>
        <c:shape val="box"/>
        <c:axId val="193308856"/>
        <c:axId val="193308464"/>
        <c:axId val="0"/>
      </c:bar3DChart>
      <c:catAx>
        <c:axId val="193308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308464"/>
        <c:crosses val="autoZero"/>
        <c:auto val="1"/>
        <c:lblAlgn val="ctr"/>
        <c:lblOffset val="100"/>
        <c:noMultiLvlLbl val="0"/>
      </c:catAx>
      <c:valAx>
        <c:axId val="1933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outerShdw dist="38100" dir="5340000" sx="141000" sy="141000" algn="l" rotWithShape="0">
                <a:prstClr val="black">
                  <a:alpha val="69000"/>
                </a:prstClr>
              </a:outerShdw>
            </a:effectLst>
          </c:spPr>
        </c:majorGridlines>
        <c:numFmt formatCode="#,##0&quot;р.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308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Чистая прибыль нарастающим итогом</a:t>
            </a:r>
          </a:p>
        </c:rich>
      </c:tx>
      <c:layout>
        <c:manualLayout>
          <c:xMode val="edge"/>
          <c:yMode val="edge"/>
          <c:x val="0.28101031280438382"/>
          <c:y val="2.675585284280937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 cap="sq">
                <a:solidFill>
                  <a:schemeClr val="accent1"/>
                </a:solidFill>
                <a:miter lim="800000"/>
              </a:ln>
              <a:effectLst/>
            </c:spPr>
          </c:marker>
          <c:dLbls>
            <c:dLbl>
              <c:idx val="0"/>
              <c:layout>
                <c:manualLayout>
                  <c:x val="-1.7927327072784459E-2"/>
                  <c:y val="-0.18635556843020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3.4924494211594652E-2"/>
                  <c:y val="-0.128225493552436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&quot;р.&quot;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'Финансовая модель'!$E$33:$AB$33</c:f>
              <c:numCache>
                <c:formatCode>General</c:formatCode>
                <c:ptCount val="24"/>
                <c:pt idx="0">
                  <c:v>-417415.6333333333</c:v>
                </c:pt>
                <c:pt idx="1">
                  <c:v>-408872.41666666663</c:v>
                </c:pt>
                <c:pt idx="2">
                  <c:v>-328370.34999999998</c:v>
                </c:pt>
                <c:pt idx="3">
                  <c:v>-201888.85833333328</c:v>
                </c:pt>
                <c:pt idx="4">
                  <c:v>-137366.21666666667</c:v>
                </c:pt>
                <c:pt idx="5">
                  <c:v>20094.699999999953</c:v>
                </c:pt>
                <c:pt idx="6">
                  <c:v>204514.46666666656</c:v>
                </c:pt>
                <c:pt idx="7">
                  <c:v>326975.38333333319</c:v>
                </c:pt>
                <c:pt idx="8">
                  <c:v>511395.14999999979</c:v>
                </c:pt>
                <c:pt idx="9">
                  <c:v>671031.37666666647</c:v>
                </c:pt>
                <c:pt idx="10">
                  <c:v>818275.83333333314</c:v>
                </c:pt>
                <c:pt idx="11">
                  <c:v>1002695.5999999997</c:v>
                </c:pt>
                <c:pt idx="12">
                  <c:v>1249074.2166666663</c:v>
                </c:pt>
                <c:pt idx="13">
                  <c:v>1507844.603333333</c:v>
                </c:pt>
                <c:pt idx="14">
                  <c:v>1816182.0699999998</c:v>
                </c:pt>
                <c:pt idx="15">
                  <c:v>2062560.6866666665</c:v>
                </c:pt>
                <c:pt idx="16">
                  <c:v>2321331.0733333332</c:v>
                </c:pt>
                <c:pt idx="17">
                  <c:v>2542926.15</c:v>
                </c:pt>
                <c:pt idx="18">
                  <c:v>2739737.6866666665</c:v>
                </c:pt>
                <c:pt idx="19">
                  <c:v>2924157.4533333331</c:v>
                </c:pt>
                <c:pt idx="20">
                  <c:v>3158144.3</c:v>
                </c:pt>
                <c:pt idx="21">
                  <c:v>3404522.9166666665</c:v>
                </c:pt>
                <c:pt idx="22">
                  <c:v>3663293.3033333332</c:v>
                </c:pt>
                <c:pt idx="23">
                  <c:v>3922063.69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307288"/>
        <c:axId val="193306504"/>
      </c:lineChart>
      <c:catAx>
        <c:axId val="193307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306504"/>
        <c:crosses val="autoZero"/>
        <c:auto val="1"/>
        <c:lblAlgn val="ctr"/>
        <c:lblOffset val="100"/>
        <c:noMultiLvlLbl val="0"/>
      </c:catAx>
      <c:valAx>
        <c:axId val="19330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р.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307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1304925</xdr:colOff>
          <xdr:row>49</xdr:row>
          <xdr:rowOff>219075</xdr:rowOff>
        </xdr:from>
        <xdr:to>
          <xdr:col>3</xdr:col>
          <xdr:colOff>9525</xdr:colOff>
          <xdr:row>51</xdr:row>
          <xdr:rowOff>19050</xdr:rowOff>
        </xdr:to>
        <xdr:sp macro="" textlink="">
          <xdr:nvSpPr>
            <xdr:cNvPr id="1038" name="CommandButton1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1838325</xdr:colOff>
          <xdr:row>25</xdr:row>
          <xdr:rowOff>123825</xdr:rowOff>
        </xdr:from>
        <xdr:to>
          <xdr:col>3</xdr:col>
          <xdr:colOff>666750</xdr:colOff>
          <xdr:row>27</xdr:row>
          <xdr:rowOff>47625</xdr:rowOff>
        </xdr:to>
        <xdr:sp macro="" textlink="">
          <xdr:nvSpPr>
            <xdr:cNvPr id="4098" name="CommandButton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34</xdr:row>
          <xdr:rowOff>0</xdr:rowOff>
        </xdr:from>
        <xdr:to>
          <xdr:col>16</xdr:col>
          <xdr:colOff>352425</xdr:colOff>
          <xdr:row>35</xdr:row>
          <xdr:rowOff>85725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590550</xdr:colOff>
      <xdr:row>15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15</xdr:row>
      <xdr:rowOff>171450</xdr:rowOff>
    </xdr:from>
    <xdr:to>
      <xdr:col>12</xdr:col>
      <xdr:colOff>466725</xdr:colOff>
      <xdr:row>33</xdr:row>
      <xdr:rowOff>152400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38099</xdr:rowOff>
    </xdr:from>
    <xdr:to>
      <xdr:col>12</xdr:col>
      <xdr:colOff>19050</xdr:colOff>
      <xdr:row>50</xdr:row>
      <xdr:rowOff>28574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3" tint="0.59999389629810485"/>
  </sheetPr>
  <dimension ref="A1:AP465"/>
  <sheetViews>
    <sheetView tabSelected="1" workbookViewId="0">
      <selection activeCell="D17" sqref="D17"/>
    </sheetView>
  </sheetViews>
  <sheetFormatPr defaultRowHeight="15" outlineLevelRow="1" x14ac:dyDescent="0.25"/>
  <cols>
    <col min="1" max="1" width="3.5703125" style="5" customWidth="1"/>
    <col min="2" max="2" width="52.5703125" style="1" customWidth="1"/>
    <col min="3" max="3" width="21.42578125" style="2" customWidth="1"/>
    <col min="4" max="4" width="20.85546875" style="3" customWidth="1"/>
    <col min="5" max="5" width="23.140625" style="7" customWidth="1"/>
    <col min="6" max="6" width="8.85546875" style="5" customWidth="1"/>
    <col min="7" max="7" width="7.28515625" style="5" customWidth="1"/>
    <col min="8" max="9" width="9.140625" style="5" customWidth="1"/>
    <col min="10" max="10" width="9.140625" style="5" hidden="1" customWidth="1"/>
    <col min="11" max="12" width="9.140625" style="5" customWidth="1"/>
    <col min="13" max="39" width="9.140625" style="5"/>
  </cols>
  <sheetData>
    <row r="1" spans="1:42" s="5" customFormat="1" ht="14.25" customHeight="1" x14ac:dyDescent="0.25">
      <c r="B1" s="23"/>
      <c r="C1" s="7"/>
      <c r="D1" s="24"/>
      <c r="E1" s="7"/>
    </row>
    <row r="2" spans="1:42" s="5" customFormat="1" ht="38.25" customHeight="1" x14ac:dyDescent="0.25">
      <c r="B2" s="98" t="s">
        <v>91</v>
      </c>
      <c r="C2" s="98"/>
      <c r="D2" s="98"/>
      <c r="E2" s="98"/>
      <c r="F2" s="98"/>
      <c r="G2" s="98"/>
    </row>
    <row r="3" spans="1:42" s="5" customFormat="1" ht="2.25" customHeight="1" x14ac:dyDescent="0.25">
      <c r="B3" s="99"/>
      <c r="C3" s="99"/>
      <c r="D3" s="99"/>
      <c r="E3" s="99"/>
      <c r="F3" s="99"/>
      <c r="G3" s="99"/>
    </row>
    <row r="4" spans="1:42" s="5" customFormat="1" ht="22.5" customHeight="1" x14ac:dyDescent="0.25">
      <c r="B4" s="23"/>
      <c r="C4" s="23"/>
      <c r="D4" s="23"/>
      <c r="E4" s="23"/>
      <c r="F4" s="23"/>
      <c r="G4" s="23"/>
    </row>
    <row r="5" spans="1:42" s="5" customFormat="1" ht="20.25" customHeight="1" x14ac:dyDescent="0.25">
      <c r="B5" s="100" t="s">
        <v>27</v>
      </c>
      <c r="C5" s="100"/>
      <c r="D5" s="100"/>
      <c r="E5" s="100"/>
      <c r="F5" s="100"/>
      <c r="G5" s="100"/>
    </row>
    <row r="6" spans="1:42" s="25" customFormat="1" ht="12" customHeight="1" x14ac:dyDescent="0.25">
      <c r="B6" s="23"/>
      <c r="C6" s="7"/>
      <c r="D6" s="39"/>
    </row>
    <row r="7" spans="1:42" s="25" customFormat="1" ht="17.100000000000001" customHeight="1" x14ac:dyDescent="0.25">
      <c r="B7" s="104" t="s">
        <v>40</v>
      </c>
      <c r="C7" s="65"/>
      <c r="D7" s="66" t="s">
        <v>41</v>
      </c>
    </row>
    <row r="8" spans="1:42" s="25" customFormat="1" ht="17.100000000000001" customHeight="1" x14ac:dyDescent="0.25">
      <c r="B8" s="104"/>
      <c r="C8" s="68"/>
      <c r="D8" s="66" t="s">
        <v>42</v>
      </c>
    </row>
    <row r="9" spans="1:42" s="25" customFormat="1" ht="17.100000000000001" customHeight="1" thickBot="1" x14ac:dyDescent="0.3">
      <c r="B9" s="23"/>
      <c r="C9" s="7"/>
      <c r="D9" s="39"/>
    </row>
    <row r="10" spans="1:42" s="25" customFormat="1" ht="23.25" customHeight="1" thickBot="1" x14ac:dyDescent="0.3">
      <c r="B10" s="101" t="s">
        <v>37</v>
      </c>
      <c r="C10" s="102"/>
      <c r="D10" s="103"/>
      <c r="J10" s="25" t="e">
        <f>площадь*ставкаАренда</f>
        <v>#VALUE!</v>
      </c>
    </row>
    <row r="11" spans="1:42" s="25" customFormat="1" ht="17.100000000000001" customHeight="1" x14ac:dyDescent="0.25">
      <c r="B11" s="93" t="s">
        <v>38</v>
      </c>
      <c r="C11" s="94"/>
      <c r="D11" s="67">
        <v>150000</v>
      </c>
      <c r="J11" s="84">
        <f>ЗарплатаСтавка/30000</f>
        <v>1.1666666666666667</v>
      </c>
    </row>
    <row r="12" spans="1:42" s="25" customFormat="1" ht="17.100000000000001" customHeight="1" x14ac:dyDescent="0.25">
      <c r="B12" s="93" t="s">
        <v>17</v>
      </c>
      <c r="C12" s="94"/>
      <c r="D12" s="69">
        <f>IF(D11&lt;200000,180000,250000)</f>
        <v>180000</v>
      </c>
      <c r="J12" s="84">
        <f>СреднийЧек/700</f>
        <v>1</v>
      </c>
    </row>
    <row r="13" spans="1:42" s="25" customFormat="1" ht="17.100000000000001" customHeight="1" x14ac:dyDescent="0.25">
      <c r="B13" s="93" t="s">
        <v>39</v>
      </c>
      <c r="C13" s="94"/>
      <c r="D13" s="69" t="s">
        <v>64</v>
      </c>
    </row>
    <row r="14" spans="1:42" s="25" customFormat="1" ht="17.100000000000001" customHeight="1" x14ac:dyDescent="0.25">
      <c r="B14" s="95" t="s">
        <v>49</v>
      </c>
      <c r="C14" s="96"/>
      <c r="D14" s="71" t="s">
        <v>43</v>
      </c>
    </row>
    <row r="15" spans="1:42" s="25" customFormat="1" ht="17.100000000000001" customHeight="1" x14ac:dyDescent="0.25">
      <c r="B15" s="95" t="s">
        <v>50</v>
      </c>
      <c r="C15" s="96"/>
      <c r="D15" s="69">
        <v>1.5</v>
      </c>
      <c r="E15" s="77"/>
    </row>
    <row r="16" spans="1:42" s="4" customFormat="1" ht="17.100000000000001" customHeight="1" x14ac:dyDescent="0.25">
      <c r="A16" s="25"/>
      <c r="B16" s="95" t="s">
        <v>44</v>
      </c>
      <c r="C16" s="96"/>
      <c r="D16" s="71">
        <v>50</v>
      </c>
      <c r="E16" s="26" t="s">
        <v>66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1:42" s="4" customFormat="1" ht="15.75" customHeight="1" x14ac:dyDescent="0.25">
      <c r="A17" s="25"/>
      <c r="B17" s="95" t="s">
        <v>99</v>
      </c>
      <c r="C17" s="96"/>
      <c r="D17" s="71" t="s">
        <v>98</v>
      </c>
      <c r="E17" s="26" t="s">
        <v>101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1:42" s="4" customFormat="1" ht="16.5" customHeight="1" x14ac:dyDescent="0.25">
      <c r="A18" s="25"/>
      <c r="B18" s="95" t="s">
        <v>100</v>
      </c>
      <c r="C18" s="97"/>
      <c r="D18" s="71">
        <v>600</v>
      </c>
      <c r="E18" s="26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1:42" s="4" customFormat="1" ht="17.100000000000001" customHeight="1" x14ac:dyDescent="0.25">
      <c r="A19" s="25"/>
      <c r="B19" s="95" t="s">
        <v>48</v>
      </c>
      <c r="C19" s="96"/>
      <c r="D19" s="71">
        <v>700</v>
      </c>
      <c r="E19" s="26" t="s">
        <v>46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</row>
    <row r="20" spans="1:42" s="4" customFormat="1" ht="17.100000000000001" customHeight="1" thickBot="1" x14ac:dyDescent="0.3">
      <c r="A20" s="25"/>
      <c r="B20" s="107" t="s">
        <v>65</v>
      </c>
      <c r="C20" s="108"/>
      <c r="D20" s="78">
        <v>35000</v>
      </c>
      <c r="E20" s="26" t="s">
        <v>47</v>
      </c>
      <c r="F20" s="25"/>
      <c r="G20" s="25"/>
      <c r="H20" s="25"/>
      <c r="I20" s="25"/>
      <c r="J20" s="25"/>
      <c r="K20" s="25"/>
      <c r="L20" s="25"/>
      <c r="M20" s="25"/>
      <c r="N20" s="4" t="s">
        <v>45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1:42" s="25" customFormat="1" ht="17.100000000000001" customHeight="1" thickBot="1" x14ac:dyDescent="0.3">
      <c r="B21" s="23"/>
      <c r="C21" s="7"/>
      <c r="D21" s="39"/>
    </row>
    <row r="22" spans="1:42" ht="21" customHeight="1" thickBot="1" x14ac:dyDescent="0.3">
      <c r="B22" s="64" t="s">
        <v>0</v>
      </c>
      <c r="C22" s="40" t="s">
        <v>18</v>
      </c>
      <c r="D22" s="41" t="s">
        <v>19</v>
      </c>
      <c r="E22" s="42" t="s">
        <v>35</v>
      </c>
      <c r="F22" s="70">
        <v>58</v>
      </c>
      <c r="G22" s="60" t="s">
        <v>36</v>
      </c>
      <c r="AM22"/>
    </row>
    <row r="23" spans="1:42" ht="17.100000000000001" customHeight="1" x14ac:dyDescent="0.25">
      <c r="B23" s="58" t="s">
        <v>17</v>
      </c>
      <c r="C23" s="38">
        <f>Паушальный</f>
        <v>180000</v>
      </c>
      <c r="D23" s="38">
        <f t="shared" ref="D23:D48" si="0">C23/Курс</f>
        <v>3103.4482758620688</v>
      </c>
      <c r="E23" s="5"/>
      <c r="AM23"/>
    </row>
    <row r="24" spans="1:42" ht="17.100000000000001" customHeight="1" x14ac:dyDescent="0.25">
      <c r="B24" s="57" t="s">
        <v>16</v>
      </c>
      <c r="C24" s="38">
        <v>40000</v>
      </c>
      <c r="D24" s="38">
        <f t="shared" si="0"/>
        <v>689.65517241379314</v>
      </c>
      <c r="E24" s="42"/>
      <c r="I24" s="25"/>
      <c r="AM24"/>
    </row>
    <row r="25" spans="1:42" s="4" customFormat="1" ht="17.100000000000001" customHeight="1" x14ac:dyDescent="0.25">
      <c r="A25" s="25"/>
      <c r="B25" s="57" t="s">
        <v>15</v>
      </c>
      <c r="C25" s="38">
        <v>2000</v>
      </c>
      <c r="D25" s="38">
        <f t="shared" si="0"/>
        <v>34.482758620689658</v>
      </c>
      <c r="E25" s="25"/>
      <c r="F25" s="25"/>
      <c r="G25" s="25"/>
      <c r="H25" s="105" t="s">
        <v>97</v>
      </c>
      <c r="I25" s="10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</row>
    <row r="26" spans="1:42" s="4" customFormat="1" ht="15.75" customHeight="1" x14ac:dyDescent="0.25">
      <c r="A26" s="25"/>
      <c r="B26" s="79" t="s">
        <v>77</v>
      </c>
      <c r="C26" s="81">
        <f>IF(ставкаАренда=H26,30000,SUM(C27:C40))</f>
        <v>30000</v>
      </c>
      <c r="D26" s="81">
        <f t="shared" si="0"/>
        <v>517.24137931034488</v>
      </c>
      <c r="E26" s="25"/>
      <c r="F26" s="25"/>
      <c r="G26" s="25"/>
      <c r="H26" s="105" t="s">
        <v>98</v>
      </c>
      <c r="I26" s="10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42" s="4" customFormat="1" ht="17.100000000000001" hidden="1" customHeight="1" outlineLevel="1" x14ac:dyDescent="0.25">
      <c r="A27" s="25"/>
      <c r="B27" s="80" t="s">
        <v>80</v>
      </c>
      <c r="C27" s="38">
        <v>30000</v>
      </c>
      <c r="D27" s="38">
        <f t="shared" si="0"/>
        <v>517.24137931034488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1:42" s="4" customFormat="1" ht="17.100000000000001" hidden="1" customHeight="1" outlineLevel="1" x14ac:dyDescent="0.25">
      <c r="A28" s="25"/>
      <c r="B28" s="80" t="s">
        <v>67</v>
      </c>
      <c r="C28" s="38">
        <f>2*25000</f>
        <v>50000</v>
      </c>
      <c r="D28" s="38">
        <f t="shared" si="0"/>
        <v>862.06896551724139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42" s="4" customFormat="1" ht="17.100000000000001" hidden="1" customHeight="1" outlineLevel="1" x14ac:dyDescent="0.25">
      <c r="A29" s="25"/>
      <c r="B29" s="80" t="s">
        <v>68</v>
      </c>
      <c r="C29" s="38">
        <v>12000</v>
      </c>
      <c r="D29" s="38">
        <f t="shared" si="0"/>
        <v>206.89655172413794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42" s="4" customFormat="1" ht="17.100000000000001" hidden="1" customHeight="1" outlineLevel="1" x14ac:dyDescent="0.25">
      <c r="A30" s="25"/>
      <c r="B30" s="80" t="s">
        <v>69</v>
      </c>
      <c r="C30" s="38">
        <v>15000</v>
      </c>
      <c r="D30" s="38">
        <f t="shared" si="0"/>
        <v>258.62068965517244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42" s="4" customFormat="1" ht="17.100000000000001" hidden="1" customHeight="1" outlineLevel="1" x14ac:dyDescent="0.25">
      <c r="A31" s="25"/>
      <c r="B31" s="80" t="s">
        <v>81</v>
      </c>
      <c r="C31" s="38">
        <f>5*7000</f>
        <v>35000</v>
      </c>
      <c r="D31" s="38">
        <f t="shared" si="0"/>
        <v>603.44827586206895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42" s="4" customFormat="1" ht="17.100000000000001" hidden="1" customHeight="1" outlineLevel="1" x14ac:dyDescent="0.25">
      <c r="A32" s="25"/>
      <c r="B32" s="80" t="s">
        <v>70</v>
      </c>
      <c r="C32" s="38">
        <v>12000</v>
      </c>
      <c r="D32" s="38">
        <f t="shared" si="0"/>
        <v>206.89655172413794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s="4" customFormat="1" ht="17.100000000000001" hidden="1" customHeight="1" outlineLevel="1" x14ac:dyDescent="0.25">
      <c r="A33" s="25"/>
      <c r="B33" s="80" t="s">
        <v>71</v>
      </c>
      <c r="C33" s="38">
        <v>12000</v>
      </c>
      <c r="D33" s="38">
        <f t="shared" si="0"/>
        <v>206.89655172413794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s="4" customFormat="1" ht="17.100000000000001" hidden="1" customHeight="1" outlineLevel="1" x14ac:dyDescent="0.25">
      <c r="A34" s="25"/>
      <c r="B34" s="80" t="s">
        <v>72</v>
      </c>
      <c r="C34" s="38">
        <v>100000</v>
      </c>
      <c r="D34" s="38">
        <f t="shared" si="0"/>
        <v>1724.1379310344828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s="4" customFormat="1" ht="17.100000000000001" hidden="1" customHeight="1" outlineLevel="1" x14ac:dyDescent="0.25">
      <c r="A35" s="25"/>
      <c r="B35" s="80" t="s">
        <v>73</v>
      </c>
      <c r="C35" s="38">
        <v>15000</v>
      </c>
      <c r="D35" s="38">
        <f t="shared" si="0"/>
        <v>258.62068965517244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s="4" customFormat="1" ht="47.25" hidden="1" customHeight="1" outlineLevel="1" x14ac:dyDescent="0.25">
      <c r="A36" s="25"/>
      <c r="B36" s="80" t="s">
        <v>74</v>
      </c>
      <c r="C36" s="38">
        <v>25000</v>
      </c>
      <c r="D36" s="38">
        <f t="shared" si="0"/>
        <v>431.0344827586207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s="4" customFormat="1" ht="60" hidden="1" customHeight="1" outlineLevel="1" x14ac:dyDescent="0.25">
      <c r="A37" s="25"/>
      <c r="B37" s="80" t="s">
        <v>83</v>
      </c>
      <c r="C37" s="38">
        <f>2*4000</f>
        <v>8000</v>
      </c>
      <c r="D37" s="38">
        <f t="shared" si="0"/>
        <v>137.93103448275863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s="4" customFormat="1" ht="63" hidden="1" customHeight="1" outlineLevel="1" x14ac:dyDescent="0.25">
      <c r="A38" s="25"/>
      <c r="B38" s="80" t="s">
        <v>82</v>
      </c>
      <c r="C38" s="38">
        <f>2*5000</f>
        <v>10000</v>
      </c>
      <c r="D38" s="38">
        <f t="shared" si="0"/>
        <v>172.41379310344828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s="4" customFormat="1" ht="86.25" hidden="1" customHeight="1" outlineLevel="1" x14ac:dyDescent="0.25">
      <c r="A39" s="25"/>
      <c r="B39" s="80" t="s">
        <v>75</v>
      </c>
      <c r="C39" s="38">
        <v>5000</v>
      </c>
      <c r="D39" s="38">
        <f t="shared" si="0"/>
        <v>86.206896551724142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5" s="4" customFormat="1" ht="0.75" hidden="1" customHeight="1" outlineLevel="1" x14ac:dyDescent="0.25">
      <c r="A40" s="25"/>
      <c r="B40" s="80" t="s">
        <v>76</v>
      </c>
      <c r="C40" s="38">
        <v>15000</v>
      </c>
      <c r="D40" s="38">
        <f t="shared" si="0"/>
        <v>258.62068965517244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s="4" customFormat="1" ht="17.100000000000001" customHeight="1" collapsed="1" x14ac:dyDescent="0.25">
      <c r="A41" s="25"/>
      <c r="B41" s="62" t="s">
        <v>78</v>
      </c>
      <c r="C41" s="38">
        <v>50000</v>
      </c>
      <c r="D41" s="38">
        <f t="shared" si="0"/>
        <v>862.06896551724139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 s="4" customFormat="1" ht="17.100000000000001" customHeight="1" x14ac:dyDescent="0.25">
      <c r="A42" s="25"/>
      <c r="B42" s="62" t="s">
        <v>79</v>
      </c>
      <c r="C42" s="38">
        <v>25000</v>
      </c>
      <c r="D42" s="38">
        <f t="shared" si="0"/>
        <v>431.0344827586207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5" s="4" customFormat="1" ht="17.100000000000001" customHeight="1" x14ac:dyDescent="0.25">
      <c r="A43" s="25"/>
      <c r="B43" s="62" t="s">
        <v>51</v>
      </c>
      <c r="C43" s="87">
        <f>IF(ставкаАренда=H26,0,40000)</f>
        <v>0</v>
      </c>
      <c r="D43" s="38">
        <f t="shared" si="0"/>
        <v>0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5" s="4" customFormat="1" ht="17.100000000000001" customHeight="1" x14ac:dyDescent="0.25">
      <c r="A44" s="25"/>
      <c r="B44" s="59" t="s">
        <v>52</v>
      </c>
      <c r="C44" s="38">
        <f>площадь*$D$18</f>
        <v>30000</v>
      </c>
      <c r="D44" s="38">
        <f t="shared" si="0"/>
        <v>517.24137931034488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5" s="4" customFormat="1" ht="17.100000000000001" customHeight="1" x14ac:dyDescent="0.25">
      <c r="A45" s="25"/>
      <c r="B45" s="59" t="s">
        <v>53</v>
      </c>
      <c r="C45" s="87">
        <v>25000</v>
      </c>
      <c r="D45" s="38">
        <f t="shared" si="0"/>
        <v>431.0344827586207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5" s="4" customFormat="1" ht="17.100000000000001" customHeight="1" x14ac:dyDescent="0.25">
      <c r="A46" s="25"/>
      <c r="B46" s="59" t="s">
        <v>26</v>
      </c>
      <c r="C46" s="38">
        <v>2000</v>
      </c>
      <c r="D46" s="38">
        <f t="shared" si="0"/>
        <v>34.482758620689658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5" s="4" customFormat="1" ht="17.100000000000001" customHeight="1" x14ac:dyDescent="0.25">
      <c r="A47" s="25"/>
      <c r="B47" s="57" t="s">
        <v>20</v>
      </c>
      <c r="C47" s="38">
        <v>20000</v>
      </c>
      <c r="D47" s="38">
        <f t="shared" si="0"/>
        <v>344.82758620689657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5" s="4" customFormat="1" ht="17.100000000000001" customHeight="1" thickBot="1" x14ac:dyDescent="0.3">
      <c r="A48" s="25"/>
      <c r="B48" s="56" t="s">
        <v>1</v>
      </c>
      <c r="C48" s="43">
        <f>SUM(C23:C26)+SUM(C41:C47)</f>
        <v>404000</v>
      </c>
      <c r="D48" s="61">
        <f t="shared" si="0"/>
        <v>6965.5172413793107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2:6" s="25" customFormat="1" ht="17.100000000000001" customHeight="1" x14ac:dyDescent="0.25">
      <c r="B49" s="23"/>
      <c r="C49" s="7"/>
      <c r="D49" s="24"/>
    </row>
    <row r="50" spans="2:6" s="5" customFormat="1" ht="24.75" customHeight="1" x14ac:dyDescent="0.25">
      <c r="B50" s="23"/>
      <c r="C50" s="7"/>
      <c r="D50" s="24"/>
    </row>
    <row r="51" spans="2:6" s="5" customFormat="1" ht="15" customHeight="1" x14ac:dyDescent="0.25">
      <c r="B51" s="23"/>
      <c r="C51" s="7"/>
      <c r="D51" s="24"/>
    </row>
    <row r="52" spans="2:6" s="5" customFormat="1" ht="15" customHeight="1" x14ac:dyDescent="0.25">
      <c r="B52" s="23"/>
      <c r="C52" s="7"/>
      <c r="D52" s="24"/>
    </row>
    <row r="53" spans="2:6" s="5" customFormat="1" ht="15" customHeight="1" x14ac:dyDescent="0.25">
      <c r="B53" s="23"/>
      <c r="C53" s="7"/>
      <c r="D53" s="24"/>
    </row>
    <row r="54" spans="2:6" s="5" customFormat="1" ht="31.5" customHeight="1" x14ac:dyDescent="0.25">
      <c r="B54" s="23"/>
      <c r="C54" s="7"/>
      <c r="D54" s="24"/>
    </row>
    <row r="55" spans="2:6" s="27" customFormat="1" ht="15" customHeight="1" x14ac:dyDescent="0.25">
      <c r="B55" s="23"/>
      <c r="C55" s="7"/>
      <c r="D55" s="24"/>
      <c r="E55" s="5"/>
      <c r="F55" s="5"/>
    </row>
    <row r="56" spans="2:6" s="27" customFormat="1" ht="15" customHeight="1" x14ac:dyDescent="0.25">
      <c r="B56" s="23"/>
      <c r="C56" s="7"/>
      <c r="D56" s="24"/>
      <c r="E56" s="5"/>
      <c r="F56" s="5"/>
    </row>
    <row r="57" spans="2:6" s="27" customFormat="1" ht="15" customHeight="1" x14ac:dyDescent="0.25">
      <c r="B57" s="23"/>
      <c r="C57" s="7"/>
      <c r="D57" s="24"/>
      <c r="E57" s="5"/>
      <c r="F57" s="5"/>
    </row>
    <row r="58" spans="2:6" s="27" customFormat="1" ht="15" customHeight="1" x14ac:dyDescent="0.25">
      <c r="B58" s="23"/>
      <c r="C58" s="7"/>
      <c r="D58" s="24"/>
      <c r="E58" s="5"/>
      <c r="F58" s="5"/>
    </row>
    <row r="59" spans="2:6" s="27" customFormat="1" ht="15" customHeight="1" x14ac:dyDescent="0.25">
      <c r="B59" s="23"/>
      <c r="C59" s="7"/>
      <c r="D59" s="24"/>
      <c r="E59" s="5"/>
      <c r="F59" s="5"/>
    </row>
    <row r="60" spans="2:6" s="5" customFormat="1" ht="21" customHeight="1" x14ac:dyDescent="0.25">
      <c r="B60" s="23"/>
      <c r="C60" s="7"/>
      <c r="D60" s="24"/>
      <c r="E60" s="7"/>
    </row>
    <row r="61" spans="2:6" s="5" customFormat="1" x14ac:dyDescent="0.25">
      <c r="B61" s="23"/>
      <c r="C61" s="7"/>
      <c r="D61" s="24"/>
      <c r="E61" s="7"/>
    </row>
    <row r="62" spans="2:6" s="5" customFormat="1" x14ac:dyDescent="0.25">
      <c r="B62" s="23"/>
      <c r="C62" s="7"/>
      <c r="D62" s="24"/>
      <c r="E62" s="7"/>
    </row>
    <row r="63" spans="2:6" s="5" customFormat="1" x14ac:dyDescent="0.25">
      <c r="B63" s="23"/>
      <c r="C63" s="7"/>
      <c r="D63" s="24"/>
      <c r="E63" s="7"/>
    </row>
    <row r="64" spans="2:6" s="5" customFormat="1" x14ac:dyDescent="0.25">
      <c r="B64" s="23"/>
      <c r="C64" s="7"/>
      <c r="D64" s="24"/>
      <c r="E64" s="7"/>
    </row>
    <row r="65" spans="2:5" s="5" customFormat="1" x14ac:dyDescent="0.25">
      <c r="B65" s="23"/>
      <c r="C65" s="7"/>
      <c r="D65" s="24"/>
      <c r="E65" s="7"/>
    </row>
    <row r="66" spans="2:5" s="5" customFormat="1" x14ac:dyDescent="0.25">
      <c r="B66" s="23"/>
      <c r="C66" s="7"/>
      <c r="D66" s="24"/>
      <c r="E66" s="7"/>
    </row>
    <row r="67" spans="2:5" s="5" customFormat="1" x14ac:dyDescent="0.25">
      <c r="B67" s="23"/>
      <c r="C67" s="7"/>
      <c r="D67" s="24"/>
      <c r="E67" s="7"/>
    </row>
    <row r="68" spans="2:5" s="5" customFormat="1" x14ac:dyDescent="0.25">
      <c r="B68" s="23"/>
      <c r="C68" s="7"/>
      <c r="D68" s="24"/>
      <c r="E68" s="7"/>
    </row>
    <row r="69" spans="2:5" s="5" customFormat="1" x14ac:dyDescent="0.25">
      <c r="B69" s="23"/>
      <c r="C69" s="7"/>
      <c r="D69" s="24"/>
      <c r="E69" s="7"/>
    </row>
    <row r="70" spans="2:5" s="5" customFormat="1" x14ac:dyDescent="0.25">
      <c r="B70" s="23"/>
      <c r="C70" s="7"/>
      <c r="D70" s="24"/>
      <c r="E70" s="7"/>
    </row>
    <row r="71" spans="2:5" s="5" customFormat="1" x14ac:dyDescent="0.25">
      <c r="B71" s="23"/>
      <c r="C71" s="7"/>
      <c r="D71" s="24"/>
      <c r="E71" s="7"/>
    </row>
    <row r="72" spans="2:5" s="5" customFormat="1" x14ac:dyDescent="0.25">
      <c r="B72" s="23"/>
      <c r="C72" s="7"/>
      <c r="D72" s="24"/>
      <c r="E72" s="7"/>
    </row>
    <row r="73" spans="2:5" s="5" customFormat="1" x14ac:dyDescent="0.25">
      <c r="B73" s="23"/>
      <c r="C73" s="7"/>
      <c r="D73" s="24"/>
      <c r="E73" s="7"/>
    </row>
    <row r="74" spans="2:5" s="5" customFormat="1" x14ac:dyDescent="0.25">
      <c r="B74" s="23"/>
      <c r="C74" s="7"/>
      <c r="D74" s="24"/>
      <c r="E74" s="7"/>
    </row>
    <row r="75" spans="2:5" s="5" customFormat="1" x14ac:dyDescent="0.25">
      <c r="B75" s="23"/>
      <c r="C75" s="7"/>
      <c r="D75" s="24"/>
      <c r="E75" s="7"/>
    </row>
    <row r="76" spans="2:5" s="5" customFormat="1" x14ac:dyDescent="0.25">
      <c r="B76" s="23"/>
      <c r="C76" s="7"/>
      <c r="D76" s="24"/>
      <c r="E76" s="7"/>
    </row>
    <row r="77" spans="2:5" s="5" customFormat="1" x14ac:dyDescent="0.25">
      <c r="B77" s="23"/>
      <c r="C77" s="7"/>
      <c r="D77" s="24"/>
      <c r="E77" s="7"/>
    </row>
    <row r="78" spans="2:5" s="5" customFormat="1" x14ac:dyDescent="0.25">
      <c r="B78" s="23"/>
      <c r="C78" s="7"/>
      <c r="D78" s="24"/>
      <c r="E78" s="7"/>
    </row>
    <row r="79" spans="2:5" s="5" customFormat="1" x14ac:dyDescent="0.25">
      <c r="B79" s="23"/>
      <c r="C79" s="7"/>
      <c r="D79" s="24"/>
      <c r="E79" s="7"/>
    </row>
    <row r="80" spans="2:5" s="5" customFormat="1" x14ac:dyDescent="0.25">
      <c r="B80" s="23"/>
      <c r="C80" s="7"/>
      <c r="D80" s="24"/>
      <c r="E80" s="7"/>
    </row>
    <row r="81" spans="2:5" s="5" customFormat="1" x14ac:dyDescent="0.25">
      <c r="B81" s="23"/>
      <c r="C81" s="7"/>
      <c r="D81" s="24"/>
      <c r="E81" s="7"/>
    </row>
    <row r="82" spans="2:5" s="5" customFormat="1" x14ac:dyDescent="0.25">
      <c r="B82" s="23"/>
      <c r="C82" s="7"/>
      <c r="D82" s="24"/>
      <c r="E82" s="7"/>
    </row>
    <row r="83" spans="2:5" s="5" customFormat="1" x14ac:dyDescent="0.25">
      <c r="B83" s="23"/>
      <c r="C83" s="7"/>
      <c r="D83" s="24"/>
      <c r="E83" s="7"/>
    </row>
    <row r="84" spans="2:5" s="5" customFormat="1" x14ac:dyDescent="0.25">
      <c r="B84" s="23"/>
      <c r="C84" s="7"/>
      <c r="D84" s="24"/>
      <c r="E84" s="7"/>
    </row>
    <row r="85" spans="2:5" s="5" customFormat="1" x14ac:dyDescent="0.25">
      <c r="B85" s="23"/>
      <c r="C85" s="7"/>
      <c r="D85" s="24"/>
      <c r="E85" s="7"/>
    </row>
    <row r="86" spans="2:5" s="5" customFormat="1" x14ac:dyDescent="0.25">
      <c r="B86" s="23"/>
      <c r="C86" s="7"/>
      <c r="D86" s="24"/>
      <c r="E86" s="7"/>
    </row>
    <row r="87" spans="2:5" s="5" customFormat="1" x14ac:dyDescent="0.25">
      <c r="B87" s="23"/>
      <c r="C87" s="7"/>
      <c r="D87" s="24"/>
      <c r="E87" s="7"/>
    </row>
    <row r="88" spans="2:5" s="5" customFormat="1" x14ac:dyDescent="0.25">
      <c r="B88" s="23"/>
      <c r="C88" s="7"/>
      <c r="D88" s="24"/>
      <c r="E88" s="7"/>
    </row>
    <row r="89" spans="2:5" s="5" customFormat="1" x14ac:dyDescent="0.25">
      <c r="B89" s="23"/>
      <c r="C89" s="7"/>
      <c r="D89" s="24"/>
      <c r="E89" s="7"/>
    </row>
    <row r="90" spans="2:5" s="5" customFormat="1" x14ac:dyDescent="0.25">
      <c r="B90" s="23"/>
      <c r="C90" s="7"/>
      <c r="D90" s="24"/>
      <c r="E90" s="7"/>
    </row>
    <row r="91" spans="2:5" s="5" customFormat="1" x14ac:dyDescent="0.25">
      <c r="B91" s="23"/>
      <c r="C91" s="7"/>
      <c r="D91" s="24"/>
      <c r="E91" s="7"/>
    </row>
    <row r="92" spans="2:5" s="5" customFormat="1" x14ac:dyDescent="0.25">
      <c r="B92" s="23"/>
      <c r="C92" s="7"/>
      <c r="D92" s="24"/>
      <c r="E92" s="7"/>
    </row>
    <row r="93" spans="2:5" s="5" customFormat="1" x14ac:dyDescent="0.25">
      <c r="B93" s="23"/>
      <c r="C93" s="7"/>
      <c r="D93" s="24"/>
      <c r="E93" s="7"/>
    </row>
    <row r="94" spans="2:5" s="5" customFormat="1" x14ac:dyDescent="0.25">
      <c r="B94" s="23"/>
      <c r="C94" s="7"/>
      <c r="D94" s="24"/>
      <c r="E94" s="7"/>
    </row>
    <row r="95" spans="2:5" s="5" customFormat="1" x14ac:dyDescent="0.25">
      <c r="B95" s="23"/>
      <c r="C95" s="7"/>
      <c r="D95" s="24"/>
      <c r="E95" s="7"/>
    </row>
    <row r="96" spans="2:5" s="5" customFormat="1" x14ac:dyDescent="0.25">
      <c r="B96" s="23"/>
      <c r="C96" s="7"/>
      <c r="D96" s="24"/>
      <c r="E96" s="7"/>
    </row>
    <row r="97" spans="2:5" s="5" customFormat="1" x14ac:dyDescent="0.25">
      <c r="B97" s="23"/>
      <c r="C97" s="7"/>
      <c r="D97" s="24"/>
      <c r="E97" s="7"/>
    </row>
    <row r="98" spans="2:5" s="5" customFormat="1" x14ac:dyDescent="0.25">
      <c r="B98" s="23"/>
      <c r="C98" s="7"/>
      <c r="D98" s="24"/>
      <c r="E98" s="7"/>
    </row>
    <row r="99" spans="2:5" s="5" customFormat="1" x14ac:dyDescent="0.25">
      <c r="B99" s="23"/>
      <c r="C99" s="7"/>
      <c r="D99" s="24"/>
      <c r="E99" s="7"/>
    </row>
    <row r="100" spans="2:5" s="5" customFormat="1" x14ac:dyDescent="0.25">
      <c r="B100" s="23"/>
      <c r="C100" s="7"/>
      <c r="D100" s="24"/>
      <c r="E100" s="7"/>
    </row>
    <row r="101" spans="2:5" s="5" customFormat="1" x14ac:dyDescent="0.25">
      <c r="B101" s="23"/>
      <c r="C101" s="7"/>
      <c r="D101" s="24"/>
      <c r="E101" s="7"/>
    </row>
    <row r="102" spans="2:5" s="5" customFormat="1" x14ac:dyDescent="0.25">
      <c r="B102" s="23"/>
      <c r="C102" s="7"/>
      <c r="D102" s="24"/>
      <c r="E102" s="7"/>
    </row>
    <row r="103" spans="2:5" s="5" customFormat="1" x14ac:dyDescent="0.25">
      <c r="B103" s="23"/>
      <c r="C103" s="7"/>
      <c r="D103" s="24"/>
      <c r="E103" s="7"/>
    </row>
    <row r="104" spans="2:5" s="5" customFormat="1" x14ac:dyDescent="0.25">
      <c r="B104" s="23"/>
      <c r="C104" s="7"/>
      <c r="D104" s="24"/>
      <c r="E104" s="7"/>
    </row>
    <row r="105" spans="2:5" s="5" customFormat="1" x14ac:dyDescent="0.25">
      <c r="B105" s="23"/>
      <c r="C105" s="7"/>
      <c r="D105" s="24"/>
      <c r="E105" s="7"/>
    </row>
    <row r="106" spans="2:5" s="5" customFormat="1" x14ac:dyDescent="0.25">
      <c r="B106" s="23"/>
      <c r="C106" s="7"/>
      <c r="D106" s="24"/>
      <c r="E106" s="7"/>
    </row>
    <row r="107" spans="2:5" s="5" customFormat="1" x14ac:dyDescent="0.25">
      <c r="B107" s="23"/>
      <c r="C107" s="7"/>
      <c r="D107" s="24"/>
      <c r="E107" s="7"/>
    </row>
    <row r="108" spans="2:5" s="5" customFormat="1" x14ac:dyDescent="0.25">
      <c r="B108" s="23"/>
      <c r="C108" s="7"/>
      <c r="D108" s="24"/>
      <c r="E108" s="7"/>
    </row>
    <row r="109" spans="2:5" s="5" customFormat="1" x14ac:dyDescent="0.25">
      <c r="B109" s="23"/>
      <c r="C109" s="7"/>
      <c r="D109" s="24"/>
      <c r="E109" s="7"/>
    </row>
    <row r="110" spans="2:5" s="5" customFormat="1" x14ac:dyDescent="0.25">
      <c r="B110" s="23"/>
      <c r="C110" s="7"/>
      <c r="D110" s="24"/>
      <c r="E110" s="7"/>
    </row>
    <row r="111" spans="2:5" s="5" customFormat="1" x14ac:dyDescent="0.25">
      <c r="B111" s="23"/>
      <c r="C111" s="7"/>
      <c r="D111" s="24"/>
      <c r="E111" s="7"/>
    </row>
    <row r="112" spans="2:5" s="5" customFormat="1" x14ac:dyDescent="0.25">
      <c r="B112" s="23"/>
      <c r="C112" s="7"/>
      <c r="D112" s="24"/>
      <c r="E112" s="7"/>
    </row>
    <row r="113" spans="2:5" s="5" customFormat="1" x14ac:dyDescent="0.25">
      <c r="B113" s="23"/>
      <c r="C113" s="7"/>
      <c r="D113" s="24"/>
      <c r="E113" s="7"/>
    </row>
    <row r="114" spans="2:5" s="5" customFormat="1" x14ac:dyDescent="0.25">
      <c r="B114" s="23"/>
      <c r="C114" s="7"/>
      <c r="D114" s="24"/>
      <c r="E114" s="7"/>
    </row>
    <row r="115" spans="2:5" s="5" customFormat="1" x14ac:dyDescent="0.25">
      <c r="B115" s="23"/>
      <c r="C115" s="7"/>
      <c r="D115" s="24"/>
      <c r="E115" s="7"/>
    </row>
    <row r="116" spans="2:5" s="5" customFormat="1" x14ac:dyDescent="0.25">
      <c r="B116" s="23"/>
      <c r="C116" s="7"/>
      <c r="D116" s="24"/>
      <c r="E116" s="7"/>
    </row>
    <row r="117" spans="2:5" s="5" customFormat="1" x14ac:dyDescent="0.25">
      <c r="B117" s="23"/>
      <c r="C117" s="7"/>
      <c r="D117" s="24"/>
      <c r="E117" s="7"/>
    </row>
    <row r="118" spans="2:5" s="5" customFormat="1" x14ac:dyDescent="0.25">
      <c r="B118" s="23"/>
      <c r="C118" s="7"/>
      <c r="D118" s="24"/>
      <c r="E118" s="7"/>
    </row>
    <row r="119" spans="2:5" s="5" customFormat="1" x14ac:dyDescent="0.25">
      <c r="B119" s="23"/>
      <c r="C119" s="7"/>
      <c r="D119" s="24"/>
      <c r="E119" s="7"/>
    </row>
    <row r="120" spans="2:5" s="5" customFormat="1" x14ac:dyDescent="0.25">
      <c r="B120" s="23"/>
      <c r="C120" s="7"/>
      <c r="D120" s="24"/>
      <c r="E120" s="7"/>
    </row>
    <row r="121" spans="2:5" s="5" customFormat="1" x14ac:dyDescent="0.25">
      <c r="B121" s="23"/>
      <c r="C121" s="7"/>
      <c r="D121" s="24"/>
      <c r="E121" s="7"/>
    </row>
    <row r="122" spans="2:5" s="5" customFormat="1" x14ac:dyDescent="0.25">
      <c r="B122" s="23"/>
      <c r="C122" s="7"/>
      <c r="D122" s="24"/>
      <c r="E122" s="7"/>
    </row>
    <row r="123" spans="2:5" s="5" customFormat="1" x14ac:dyDescent="0.25">
      <c r="B123" s="23"/>
      <c r="C123" s="7"/>
      <c r="D123" s="24"/>
      <c r="E123" s="7"/>
    </row>
    <row r="124" spans="2:5" s="5" customFormat="1" x14ac:dyDescent="0.25">
      <c r="B124" s="23"/>
      <c r="C124" s="7"/>
      <c r="D124" s="24"/>
      <c r="E124" s="7"/>
    </row>
    <row r="125" spans="2:5" s="5" customFormat="1" x14ac:dyDescent="0.25">
      <c r="B125" s="23"/>
      <c r="C125" s="7"/>
      <c r="D125" s="24"/>
      <c r="E125" s="7"/>
    </row>
    <row r="126" spans="2:5" s="5" customFormat="1" x14ac:dyDescent="0.25">
      <c r="B126" s="23"/>
      <c r="C126" s="7"/>
      <c r="D126" s="24"/>
      <c r="E126" s="7"/>
    </row>
    <row r="127" spans="2:5" s="5" customFormat="1" x14ac:dyDescent="0.25">
      <c r="B127" s="23"/>
      <c r="C127" s="7"/>
      <c r="D127" s="24"/>
      <c r="E127" s="7"/>
    </row>
    <row r="128" spans="2:5" s="5" customFormat="1" x14ac:dyDescent="0.25">
      <c r="B128" s="23"/>
      <c r="C128" s="7"/>
      <c r="D128" s="24"/>
      <c r="E128" s="7"/>
    </row>
    <row r="129" spans="2:5" s="5" customFormat="1" x14ac:dyDescent="0.25">
      <c r="B129" s="23"/>
      <c r="C129" s="7"/>
      <c r="D129" s="24"/>
      <c r="E129" s="7"/>
    </row>
    <row r="130" spans="2:5" s="5" customFormat="1" x14ac:dyDescent="0.25">
      <c r="B130" s="23"/>
      <c r="C130" s="7"/>
      <c r="D130" s="24"/>
      <c r="E130" s="7"/>
    </row>
    <row r="131" spans="2:5" s="5" customFormat="1" x14ac:dyDescent="0.25">
      <c r="B131" s="23"/>
      <c r="C131" s="7"/>
      <c r="D131" s="24"/>
      <c r="E131" s="7"/>
    </row>
    <row r="132" spans="2:5" s="5" customFormat="1" x14ac:dyDescent="0.25">
      <c r="B132" s="23"/>
      <c r="C132" s="7"/>
      <c r="D132" s="24"/>
      <c r="E132" s="7"/>
    </row>
    <row r="133" spans="2:5" s="5" customFormat="1" x14ac:dyDescent="0.25">
      <c r="B133" s="23"/>
      <c r="C133" s="7"/>
      <c r="D133" s="24"/>
      <c r="E133" s="7"/>
    </row>
    <row r="134" spans="2:5" s="5" customFormat="1" x14ac:dyDescent="0.25">
      <c r="B134" s="23"/>
      <c r="C134" s="7"/>
      <c r="D134" s="24"/>
      <c r="E134" s="7"/>
    </row>
    <row r="135" spans="2:5" s="5" customFormat="1" x14ac:dyDescent="0.25">
      <c r="B135" s="23"/>
      <c r="C135" s="7"/>
      <c r="D135" s="24"/>
      <c r="E135" s="7"/>
    </row>
    <row r="136" spans="2:5" s="5" customFormat="1" x14ac:dyDescent="0.25">
      <c r="B136" s="23"/>
      <c r="C136" s="7"/>
      <c r="D136" s="24"/>
      <c r="E136" s="7"/>
    </row>
    <row r="137" spans="2:5" s="5" customFormat="1" x14ac:dyDescent="0.25">
      <c r="B137" s="23"/>
      <c r="C137" s="7"/>
      <c r="D137" s="24"/>
      <c r="E137" s="7"/>
    </row>
    <row r="138" spans="2:5" s="5" customFormat="1" x14ac:dyDescent="0.25">
      <c r="B138" s="23"/>
      <c r="C138" s="7"/>
      <c r="D138" s="24"/>
      <c r="E138" s="7"/>
    </row>
    <row r="139" spans="2:5" s="5" customFormat="1" x14ac:dyDescent="0.25">
      <c r="B139" s="23"/>
      <c r="C139" s="7"/>
      <c r="D139" s="24"/>
      <c r="E139" s="7"/>
    </row>
    <row r="140" spans="2:5" s="5" customFormat="1" x14ac:dyDescent="0.25">
      <c r="B140" s="23"/>
      <c r="C140" s="7"/>
      <c r="D140" s="24"/>
      <c r="E140" s="7"/>
    </row>
    <row r="141" spans="2:5" s="5" customFormat="1" x14ac:dyDescent="0.25">
      <c r="B141" s="23"/>
      <c r="C141" s="7"/>
      <c r="D141" s="24"/>
      <c r="E141" s="7"/>
    </row>
    <row r="142" spans="2:5" s="5" customFormat="1" x14ac:dyDescent="0.25">
      <c r="B142" s="23"/>
      <c r="C142" s="7"/>
      <c r="D142" s="24"/>
      <c r="E142" s="7"/>
    </row>
    <row r="143" spans="2:5" s="5" customFormat="1" x14ac:dyDescent="0.25">
      <c r="B143" s="23"/>
      <c r="C143" s="7"/>
      <c r="D143" s="24"/>
      <c r="E143" s="7"/>
    </row>
    <row r="144" spans="2:5" s="5" customFormat="1" x14ac:dyDescent="0.25">
      <c r="B144" s="23"/>
      <c r="C144" s="7"/>
      <c r="D144" s="24"/>
      <c r="E144" s="7"/>
    </row>
    <row r="145" spans="2:5" s="5" customFormat="1" x14ac:dyDescent="0.25">
      <c r="B145" s="23"/>
      <c r="C145" s="7"/>
      <c r="D145" s="24"/>
      <c r="E145" s="7"/>
    </row>
    <row r="146" spans="2:5" s="5" customFormat="1" x14ac:dyDescent="0.25">
      <c r="B146" s="23"/>
      <c r="C146" s="7"/>
      <c r="D146" s="24"/>
      <c r="E146" s="7"/>
    </row>
    <row r="147" spans="2:5" s="5" customFormat="1" x14ac:dyDescent="0.25">
      <c r="B147" s="23"/>
      <c r="C147" s="7"/>
      <c r="D147" s="24"/>
      <c r="E147" s="7"/>
    </row>
    <row r="148" spans="2:5" s="5" customFormat="1" x14ac:dyDescent="0.25">
      <c r="B148" s="23"/>
      <c r="C148" s="7"/>
      <c r="D148" s="24"/>
      <c r="E148" s="7"/>
    </row>
    <row r="149" spans="2:5" s="5" customFormat="1" x14ac:dyDescent="0.25">
      <c r="B149" s="23"/>
      <c r="C149" s="7"/>
      <c r="D149" s="24"/>
      <c r="E149" s="7"/>
    </row>
    <row r="150" spans="2:5" s="5" customFormat="1" x14ac:dyDescent="0.25">
      <c r="B150" s="23"/>
      <c r="C150" s="7"/>
      <c r="D150" s="24"/>
      <c r="E150" s="7"/>
    </row>
    <row r="151" spans="2:5" s="5" customFormat="1" x14ac:dyDescent="0.25">
      <c r="B151" s="23"/>
      <c r="C151" s="7"/>
      <c r="D151" s="24"/>
      <c r="E151" s="7"/>
    </row>
    <row r="152" spans="2:5" s="5" customFormat="1" x14ac:dyDescent="0.25">
      <c r="B152" s="23"/>
      <c r="C152" s="7"/>
      <c r="D152" s="24"/>
      <c r="E152" s="7"/>
    </row>
    <row r="153" spans="2:5" s="5" customFormat="1" x14ac:dyDescent="0.25">
      <c r="B153" s="23"/>
      <c r="C153" s="7"/>
      <c r="D153" s="24"/>
      <c r="E153" s="7"/>
    </row>
    <row r="154" spans="2:5" s="5" customFormat="1" x14ac:dyDescent="0.25">
      <c r="B154" s="23"/>
      <c r="C154" s="7"/>
      <c r="D154" s="24"/>
      <c r="E154" s="7"/>
    </row>
    <row r="155" spans="2:5" s="5" customFormat="1" x14ac:dyDescent="0.25">
      <c r="B155" s="23"/>
      <c r="C155" s="7"/>
      <c r="D155" s="24"/>
      <c r="E155" s="7"/>
    </row>
    <row r="156" spans="2:5" s="5" customFormat="1" x14ac:dyDescent="0.25">
      <c r="B156" s="23"/>
      <c r="C156" s="7"/>
      <c r="D156" s="24"/>
      <c r="E156" s="7"/>
    </row>
    <row r="157" spans="2:5" s="5" customFormat="1" x14ac:dyDescent="0.25">
      <c r="B157" s="23"/>
      <c r="C157" s="7"/>
      <c r="D157" s="24"/>
      <c r="E157" s="7"/>
    </row>
    <row r="158" spans="2:5" s="5" customFormat="1" x14ac:dyDescent="0.25">
      <c r="B158" s="23"/>
      <c r="C158" s="7"/>
      <c r="D158" s="24"/>
      <c r="E158" s="7"/>
    </row>
    <row r="159" spans="2:5" s="5" customFormat="1" x14ac:dyDescent="0.25">
      <c r="B159" s="23"/>
      <c r="C159" s="7"/>
      <c r="D159" s="24"/>
      <c r="E159" s="7"/>
    </row>
    <row r="160" spans="2:5" s="5" customFormat="1" x14ac:dyDescent="0.25">
      <c r="B160" s="23"/>
      <c r="C160" s="7"/>
      <c r="D160" s="24"/>
      <c r="E160" s="7"/>
    </row>
    <row r="161" spans="2:5" s="5" customFormat="1" x14ac:dyDescent="0.25">
      <c r="B161" s="23"/>
      <c r="C161" s="7"/>
      <c r="D161" s="24"/>
      <c r="E161" s="7"/>
    </row>
    <row r="162" spans="2:5" s="5" customFormat="1" x14ac:dyDescent="0.25">
      <c r="B162" s="23"/>
      <c r="C162" s="7"/>
      <c r="D162" s="24"/>
      <c r="E162" s="7"/>
    </row>
    <row r="163" spans="2:5" s="5" customFormat="1" x14ac:dyDescent="0.25">
      <c r="B163" s="23"/>
      <c r="C163" s="7"/>
      <c r="D163" s="24"/>
      <c r="E163" s="7"/>
    </row>
    <row r="164" spans="2:5" s="5" customFormat="1" x14ac:dyDescent="0.25">
      <c r="B164" s="23"/>
      <c r="C164" s="7"/>
      <c r="D164" s="24"/>
      <c r="E164" s="7"/>
    </row>
    <row r="165" spans="2:5" s="5" customFormat="1" x14ac:dyDescent="0.25">
      <c r="B165" s="23"/>
      <c r="C165" s="7"/>
      <c r="D165" s="24"/>
      <c r="E165" s="7"/>
    </row>
    <row r="166" spans="2:5" s="5" customFormat="1" x14ac:dyDescent="0.25">
      <c r="B166" s="23"/>
      <c r="C166" s="7"/>
      <c r="D166" s="24"/>
      <c r="E166" s="7"/>
    </row>
    <row r="167" spans="2:5" s="5" customFormat="1" x14ac:dyDescent="0.25">
      <c r="B167" s="23"/>
      <c r="C167" s="7"/>
      <c r="D167" s="24"/>
      <c r="E167" s="7"/>
    </row>
    <row r="168" spans="2:5" s="5" customFormat="1" x14ac:dyDescent="0.25">
      <c r="B168" s="23"/>
      <c r="C168" s="7"/>
      <c r="D168" s="24"/>
      <c r="E168" s="7"/>
    </row>
    <row r="169" spans="2:5" s="5" customFormat="1" x14ac:dyDescent="0.25">
      <c r="B169" s="23"/>
      <c r="C169" s="7"/>
      <c r="D169" s="24"/>
      <c r="E169" s="7"/>
    </row>
    <row r="170" spans="2:5" s="5" customFormat="1" x14ac:dyDescent="0.25">
      <c r="B170" s="23"/>
      <c r="C170" s="7"/>
      <c r="D170" s="24"/>
      <c r="E170" s="7"/>
    </row>
    <row r="171" spans="2:5" s="5" customFormat="1" x14ac:dyDescent="0.25">
      <c r="B171" s="23"/>
      <c r="C171" s="7"/>
      <c r="D171" s="24"/>
      <c r="E171" s="7"/>
    </row>
    <row r="172" spans="2:5" s="5" customFormat="1" x14ac:dyDescent="0.25">
      <c r="B172" s="23"/>
      <c r="C172" s="7"/>
      <c r="D172" s="24"/>
      <c r="E172" s="7"/>
    </row>
    <row r="173" spans="2:5" s="5" customFormat="1" x14ac:dyDescent="0.25">
      <c r="B173" s="23"/>
      <c r="C173" s="7"/>
      <c r="D173" s="24"/>
      <c r="E173" s="7"/>
    </row>
    <row r="174" spans="2:5" s="5" customFormat="1" x14ac:dyDescent="0.25">
      <c r="B174" s="23"/>
      <c r="C174" s="7"/>
      <c r="D174" s="24"/>
      <c r="E174" s="7"/>
    </row>
    <row r="175" spans="2:5" s="5" customFormat="1" x14ac:dyDescent="0.25">
      <c r="B175" s="23"/>
      <c r="C175" s="7"/>
      <c r="D175" s="24"/>
      <c r="E175" s="7"/>
    </row>
    <row r="176" spans="2:5" s="5" customFormat="1" x14ac:dyDescent="0.25">
      <c r="B176" s="23"/>
      <c r="C176" s="7"/>
      <c r="D176" s="24"/>
      <c r="E176" s="7"/>
    </row>
    <row r="177" spans="2:5" s="5" customFormat="1" x14ac:dyDescent="0.25">
      <c r="B177" s="23"/>
      <c r="C177" s="7"/>
      <c r="D177" s="24"/>
      <c r="E177" s="7"/>
    </row>
    <row r="178" spans="2:5" s="5" customFormat="1" x14ac:dyDescent="0.25">
      <c r="B178" s="23"/>
      <c r="C178" s="7"/>
      <c r="D178" s="24"/>
      <c r="E178" s="7"/>
    </row>
    <row r="179" spans="2:5" s="5" customFormat="1" x14ac:dyDescent="0.25">
      <c r="B179" s="23"/>
      <c r="C179" s="7"/>
      <c r="D179" s="24"/>
      <c r="E179" s="7"/>
    </row>
    <row r="180" spans="2:5" s="5" customFormat="1" x14ac:dyDescent="0.25">
      <c r="B180" s="23"/>
      <c r="C180" s="7"/>
      <c r="D180" s="24"/>
      <c r="E180" s="7"/>
    </row>
    <row r="181" spans="2:5" s="5" customFormat="1" x14ac:dyDescent="0.25">
      <c r="B181" s="23"/>
      <c r="C181" s="7"/>
      <c r="D181" s="24"/>
      <c r="E181" s="7"/>
    </row>
    <row r="182" spans="2:5" s="5" customFormat="1" x14ac:dyDescent="0.25">
      <c r="B182" s="23"/>
      <c r="C182" s="7"/>
      <c r="D182" s="24"/>
      <c r="E182" s="7"/>
    </row>
    <row r="183" spans="2:5" s="5" customFormat="1" x14ac:dyDescent="0.25">
      <c r="B183" s="23"/>
      <c r="C183" s="7"/>
      <c r="D183" s="24"/>
      <c r="E183" s="7"/>
    </row>
    <row r="184" spans="2:5" s="5" customFormat="1" x14ac:dyDescent="0.25">
      <c r="B184" s="23"/>
      <c r="C184" s="7"/>
      <c r="D184" s="24"/>
      <c r="E184" s="7"/>
    </row>
    <row r="185" spans="2:5" s="5" customFormat="1" x14ac:dyDescent="0.25">
      <c r="B185" s="23"/>
      <c r="C185" s="7"/>
      <c r="D185" s="24"/>
      <c r="E185" s="7"/>
    </row>
    <row r="186" spans="2:5" s="5" customFormat="1" x14ac:dyDescent="0.25">
      <c r="B186" s="23"/>
      <c r="C186" s="7"/>
      <c r="D186" s="24"/>
      <c r="E186" s="7"/>
    </row>
    <row r="187" spans="2:5" s="5" customFormat="1" x14ac:dyDescent="0.25">
      <c r="B187" s="23"/>
      <c r="C187" s="7"/>
      <c r="D187" s="24"/>
      <c r="E187" s="7"/>
    </row>
    <row r="188" spans="2:5" s="5" customFormat="1" x14ac:dyDescent="0.25">
      <c r="B188" s="23"/>
      <c r="C188" s="7"/>
      <c r="D188" s="24"/>
      <c r="E188" s="7"/>
    </row>
    <row r="189" spans="2:5" s="5" customFormat="1" x14ac:dyDescent="0.25">
      <c r="B189" s="23"/>
      <c r="C189" s="7"/>
      <c r="D189" s="24"/>
      <c r="E189" s="7"/>
    </row>
    <row r="190" spans="2:5" s="5" customFormat="1" x14ac:dyDescent="0.25">
      <c r="B190" s="23"/>
      <c r="C190" s="7"/>
      <c r="D190" s="24"/>
      <c r="E190" s="7"/>
    </row>
    <row r="191" spans="2:5" s="5" customFormat="1" x14ac:dyDescent="0.25">
      <c r="B191" s="23"/>
      <c r="C191" s="7"/>
      <c r="D191" s="24"/>
      <c r="E191" s="7"/>
    </row>
    <row r="192" spans="2:5" s="5" customFormat="1" x14ac:dyDescent="0.25">
      <c r="B192" s="23"/>
      <c r="C192" s="7"/>
      <c r="D192" s="24"/>
      <c r="E192" s="7"/>
    </row>
    <row r="193" spans="2:5" s="5" customFormat="1" x14ac:dyDescent="0.25">
      <c r="B193" s="23"/>
      <c r="C193" s="7"/>
      <c r="D193" s="24"/>
      <c r="E193" s="7"/>
    </row>
    <row r="194" spans="2:5" s="5" customFormat="1" x14ac:dyDescent="0.25">
      <c r="B194" s="23"/>
      <c r="C194" s="7"/>
      <c r="D194" s="24"/>
      <c r="E194" s="7"/>
    </row>
    <row r="195" spans="2:5" s="5" customFormat="1" x14ac:dyDescent="0.25">
      <c r="B195" s="23"/>
      <c r="C195" s="7"/>
      <c r="D195" s="24"/>
      <c r="E195" s="7"/>
    </row>
    <row r="196" spans="2:5" s="5" customFormat="1" x14ac:dyDescent="0.25">
      <c r="B196" s="23"/>
      <c r="C196" s="7"/>
      <c r="D196" s="24"/>
      <c r="E196" s="7"/>
    </row>
    <row r="197" spans="2:5" s="5" customFormat="1" x14ac:dyDescent="0.25">
      <c r="B197" s="23"/>
      <c r="C197" s="7"/>
      <c r="D197" s="24"/>
      <c r="E197" s="7"/>
    </row>
    <row r="198" spans="2:5" s="5" customFormat="1" x14ac:dyDescent="0.25">
      <c r="B198" s="23"/>
      <c r="C198" s="7"/>
      <c r="D198" s="24"/>
      <c r="E198" s="7"/>
    </row>
    <row r="199" spans="2:5" s="5" customFormat="1" x14ac:dyDescent="0.25">
      <c r="B199" s="23"/>
      <c r="C199" s="7"/>
      <c r="D199" s="24"/>
      <c r="E199" s="7"/>
    </row>
    <row r="200" spans="2:5" s="5" customFormat="1" x14ac:dyDescent="0.25">
      <c r="B200" s="23"/>
      <c r="C200" s="7"/>
      <c r="D200" s="24"/>
      <c r="E200" s="7"/>
    </row>
    <row r="201" spans="2:5" s="5" customFormat="1" x14ac:dyDescent="0.25">
      <c r="B201" s="23"/>
      <c r="C201" s="7"/>
      <c r="D201" s="24"/>
      <c r="E201" s="7"/>
    </row>
    <row r="202" spans="2:5" s="5" customFormat="1" x14ac:dyDescent="0.25">
      <c r="B202" s="23"/>
      <c r="C202" s="7"/>
      <c r="D202" s="24"/>
      <c r="E202" s="7"/>
    </row>
    <row r="203" spans="2:5" s="5" customFormat="1" x14ac:dyDescent="0.25">
      <c r="B203" s="23"/>
      <c r="C203" s="7"/>
      <c r="D203" s="24"/>
      <c r="E203" s="7"/>
    </row>
    <row r="204" spans="2:5" s="5" customFormat="1" x14ac:dyDescent="0.25">
      <c r="B204" s="23"/>
      <c r="C204" s="7"/>
      <c r="D204" s="24"/>
      <c r="E204" s="7"/>
    </row>
    <row r="205" spans="2:5" s="5" customFormat="1" x14ac:dyDescent="0.25">
      <c r="B205" s="23"/>
      <c r="C205" s="7"/>
      <c r="D205" s="24"/>
      <c r="E205" s="7"/>
    </row>
    <row r="206" spans="2:5" s="5" customFormat="1" x14ac:dyDescent="0.25">
      <c r="B206" s="23"/>
      <c r="C206" s="7"/>
      <c r="D206" s="24"/>
      <c r="E206" s="7"/>
    </row>
    <row r="207" spans="2:5" s="5" customFormat="1" x14ac:dyDescent="0.25">
      <c r="B207" s="23"/>
      <c r="C207" s="7"/>
      <c r="D207" s="24"/>
      <c r="E207" s="7"/>
    </row>
    <row r="208" spans="2:5" s="5" customFormat="1" x14ac:dyDescent="0.25">
      <c r="B208" s="23"/>
      <c r="C208" s="7"/>
      <c r="D208" s="24"/>
      <c r="E208" s="7"/>
    </row>
    <row r="209" spans="2:5" s="5" customFormat="1" x14ac:dyDescent="0.25">
      <c r="B209" s="23"/>
      <c r="C209" s="7"/>
      <c r="D209" s="24"/>
      <c r="E209" s="7"/>
    </row>
    <row r="210" spans="2:5" s="5" customFormat="1" x14ac:dyDescent="0.25">
      <c r="B210" s="23"/>
      <c r="C210" s="7"/>
      <c r="D210" s="24"/>
      <c r="E210" s="7"/>
    </row>
    <row r="211" spans="2:5" s="5" customFormat="1" x14ac:dyDescent="0.25">
      <c r="B211" s="23"/>
      <c r="C211" s="7"/>
      <c r="D211" s="24"/>
      <c r="E211" s="7"/>
    </row>
    <row r="212" spans="2:5" s="5" customFormat="1" x14ac:dyDescent="0.25">
      <c r="B212" s="23"/>
      <c r="C212" s="7"/>
      <c r="D212" s="24"/>
      <c r="E212" s="7"/>
    </row>
    <row r="213" spans="2:5" s="5" customFormat="1" x14ac:dyDescent="0.25">
      <c r="B213" s="23"/>
      <c r="C213" s="7"/>
      <c r="D213" s="24"/>
      <c r="E213" s="7"/>
    </row>
    <row r="214" spans="2:5" s="5" customFormat="1" x14ac:dyDescent="0.25">
      <c r="B214" s="23"/>
      <c r="C214" s="7"/>
      <c r="D214" s="24"/>
      <c r="E214" s="7"/>
    </row>
    <row r="215" spans="2:5" s="5" customFormat="1" x14ac:dyDescent="0.25">
      <c r="B215" s="23"/>
      <c r="C215" s="7"/>
      <c r="D215" s="24"/>
      <c r="E215" s="7"/>
    </row>
    <row r="216" spans="2:5" s="5" customFormat="1" x14ac:dyDescent="0.25">
      <c r="B216" s="23"/>
      <c r="C216" s="7"/>
      <c r="D216" s="24"/>
      <c r="E216" s="7"/>
    </row>
    <row r="217" spans="2:5" s="5" customFormat="1" x14ac:dyDescent="0.25">
      <c r="B217" s="23"/>
      <c r="C217" s="7"/>
      <c r="D217" s="24"/>
      <c r="E217" s="7"/>
    </row>
    <row r="218" spans="2:5" s="5" customFormat="1" x14ac:dyDescent="0.25">
      <c r="B218" s="23"/>
      <c r="C218" s="7"/>
      <c r="D218" s="24"/>
      <c r="E218" s="7"/>
    </row>
    <row r="219" spans="2:5" s="5" customFormat="1" x14ac:dyDescent="0.25">
      <c r="B219" s="23"/>
      <c r="C219" s="7"/>
      <c r="D219" s="24"/>
      <c r="E219" s="7"/>
    </row>
    <row r="220" spans="2:5" s="5" customFormat="1" x14ac:dyDescent="0.25">
      <c r="B220" s="23"/>
      <c r="C220" s="7"/>
      <c r="D220" s="24"/>
      <c r="E220" s="7"/>
    </row>
    <row r="221" spans="2:5" s="5" customFormat="1" x14ac:dyDescent="0.25">
      <c r="B221" s="23"/>
      <c r="C221" s="7"/>
      <c r="D221" s="24"/>
      <c r="E221" s="7"/>
    </row>
    <row r="222" spans="2:5" s="5" customFormat="1" x14ac:dyDescent="0.25">
      <c r="B222" s="23"/>
      <c r="C222" s="7"/>
      <c r="D222" s="24"/>
      <c r="E222" s="7"/>
    </row>
    <row r="223" spans="2:5" s="5" customFormat="1" x14ac:dyDescent="0.25">
      <c r="B223" s="23"/>
      <c r="C223" s="7"/>
      <c r="D223" s="24"/>
      <c r="E223" s="7"/>
    </row>
    <row r="224" spans="2:5" s="5" customFormat="1" x14ac:dyDescent="0.25">
      <c r="B224" s="23"/>
      <c r="C224" s="7"/>
      <c r="D224" s="24"/>
      <c r="E224" s="7"/>
    </row>
    <row r="225" spans="2:5" s="5" customFormat="1" x14ac:dyDescent="0.25">
      <c r="B225" s="23"/>
      <c r="C225" s="7"/>
      <c r="D225" s="24"/>
      <c r="E225" s="7"/>
    </row>
    <row r="226" spans="2:5" s="5" customFormat="1" x14ac:dyDescent="0.25">
      <c r="B226" s="23"/>
      <c r="C226" s="7"/>
      <c r="D226" s="24"/>
      <c r="E226" s="7"/>
    </row>
    <row r="227" spans="2:5" s="5" customFormat="1" x14ac:dyDescent="0.25">
      <c r="B227" s="23"/>
      <c r="C227" s="7"/>
      <c r="D227" s="24"/>
      <c r="E227" s="7"/>
    </row>
    <row r="228" spans="2:5" s="5" customFormat="1" x14ac:dyDescent="0.25">
      <c r="B228" s="23"/>
      <c r="C228" s="7"/>
      <c r="D228" s="24"/>
      <c r="E228" s="7"/>
    </row>
    <row r="229" spans="2:5" s="5" customFormat="1" x14ac:dyDescent="0.25">
      <c r="B229" s="23"/>
      <c r="C229" s="7"/>
      <c r="D229" s="24"/>
      <c r="E229" s="7"/>
    </row>
    <row r="230" spans="2:5" s="5" customFormat="1" x14ac:dyDescent="0.25">
      <c r="B230" s="23"/>
      <c r="C230" s="7"/>
      <c r="D230" s="24"/>
      <c r="E230" s="7"/>
    </row>
    <row r="231" spans="2:5" s="5" customFormat="1" x14ac:dyDescent="0.25">
      <c r="B231" s="23"/>
      <c r="C231" s="7"/>
      <c r="D231" s="24"/>
      <c r="E231" s="7"/>
    </row>
    <row r="232" spans="2:5" s="5" customFormat="1" x14ac:dyDescent="0.25">
      <c r="B232" s="23"/>
      <c r="C232" s="7"/>
      <c r="D232" s="24"/>
      <c r="E232" s="7"/>
    </row>
    <row r="233" spans="2:5" s="5" customFormat="1" x14ac:dyDescent="0.25">
      <c r="B233" s="23"/>
      <c r="C233" s="7"/>
      <c r="D233" s="24"/>
      <c r="E233" s="7"/>
    </row>
    <row r="234" spans="2:5" s="5" customFormat="1" x14ac:dyDescent="0.25">
      <c r="B234" s="23"/>
      <c r="C234" s="7"/>
      <c r="D234" s="24"/>
      <c r="E234" s="7"/>
    </row>
    <row r="235" spans="2:5" s="5" customFormat="1" x14ac:dyDescent="0.25">
      <c r="B235" s="23"/>
      <c r="C235" s="7"/>
      <c r="D235" s="24"/>
      <c r="E235" s="7"/>
    </row>
    <row r="236" spans="2:5" s="5" customFormat="1" x14ac:dyDescent="0.25">
      <c r="B236" s="23"/>
      <c r="C236" s="7"/>
      <c r="D236" s="24"/>
      <c r="E236" s="7"/>
    </row>
    <row r="237" spans="2:5" s="5" customFormat="1" x14ac:dyDescent="0.25">
      <c r="B237" s="23"/>
      <c r="C237" s="7"/>
      <c r="D237" s="24"/>
      <c r="E237" s="7"/>
    </row>
    <row r="238" spans="2:5" s="5" customFormat="1" x14ac:dyDescent="0.25">
      <c r="B238" s="23"/>
      <c r="C238" s="7"/>
      <c r="D238" s="24"/>
      <c r="E238" s="7"/>
    </row>
    <row r="239" spans="2:5" s="5" customFormat="1" x14ac:dyDescent="0.25">
      <c r="B239" s="23"/>
      <c r="C239" s="7"/>
      <c r="D239" s="24"/>
      <c r="E239" s="7"/>
    </row>
    <row r="240" spans="2:5" s="5" customFormat="1" x14ac:dyDescent="0.25">
      <c r="B240" s="23"/>
      <c r="C240" s="7"/>
      <c r="D240" s="24"/>
      <c r="E240" s="7"/>
    </row>
    <row r="241" spans="2:5" s="5" customFormat="1" x14ac:dyDescent="0.25">
      <c r="B241" s="23"/>
      <c r="C241" s="7"/>
      <c r="D241" s="24"/>
      <c r="E241" s="7"/>
    </row>
    <row r="242" spans="2:5" s="5" customFormat="1" x14ac:dyDescent="0.25">
      <c r="B242" s="23"/>
      <c r="C242" s="7"/>
      <c r="D242" s="24"/>
      <c r="E242" s="7"/>
    </row>
    <row r="243" spans="2:5" s="5" customFormat="1" x14ac:dyDescent="0.25">
      <c r="B243" s="23"/>
      <c r="C243" s="7"/>
      <c r="D243" s="24"/>
      <c r="E243" s="7"/>
    </row>
    <row r="244" spans="2:5" s="5" customFormat="1" x14ac:dyDescent="0.25">
      <c r="B244" s="23"/>
      <c r="C244" s="7"/>
      <c r="D244" s="24"/>
      <c r="E244" s="7"/>
    </row>
    <row r="245" spans="2:5" s="5" customFormat="1" x14ac:dyDescent="0.25">
      <c r="B245" s="23"/>
      <c r="C245" s="7"/>
      <c r="D245" s="24"/>
      <c r="E245" s="7"/>
    </row>
    <row r="246" spans="2:5" s="5" customFormat="1" x14ac:dyDescent="0.25">
      <c r="B246" s="23"/>
      <c r="C246" s="7"/>
      <c r="D246" s="24"/>
      <c r="E246" s="7"/>
    </row>
    <row r="247" spans="2:5" s="5" customFormat="1" x14ac:dyDescent="0.25">
      <c r="B247" s="23"/>
      <c r="C247" s="7"/>
      <c r="D247" s="24"/>
      <c r="E247" s="7"/>
    </row>
    <row r="248" spans="2:5" s="5" customFormat="1" x14ac:dyDescent="0.25">
      <c r="B248" s="23"/>
      <c r="C248" s="7"/>
      <c r="D248" s="24"/>
      <c r="E248" s="7"/>
    </row>
    <row r="249" spans="2:5" s="5" customFormat="1" x14ac:dyDescent="0.25">
      <c r="B249" s="23"/>
      <c r="C249" s="7"/>
      <c r="D249" s="24"/>
      <c r="E249" s="7"/>
    </row>
    <row r="250" spans="2:5" s="5" customFormat="1" x14ac:dyDescent="0.25">
      <c r="B250" s="23"/>
      <c r="C250" s="7"/>
      <c r="D250" s="24"/>
      <c r="E250" s="7"/>
    </row>
    <row r="251" spans="2:5" s="5" customFormat="1" x14ac:dyDescent="0.25">
      <c r="B251" s="23"/>
      <c r="C251" s="7"/>
      <c r="D251" s="24"/>
      <c r="E251" s="7"/>
    </row>
    <row r="252" spans="2:5" s="5" customFormat="1" x14ac:dyDescent="0.25">
      <c r="B252" s="23"/>
      <c r="C252" s="7"/>
      <c r="D252" s="24"/>
      <c r="E252" s="7"/>
    </row>
    <row r="253" spans="2:5" s="5" customFormat="1" x14ac:dyDescent="0.25">
      <c r="B253" s="23"/>
      <c r="C253" s="7"/>
      <c r="D253" s="24"/>
      <c r="E253" s="7"/>
    </row>
    <row r="254" spans="2:5" s="5" customFormat="1" x14ac:dyDescent="0.25">
      <c r="B254" s="23"/>
      <c r="C254" s="7"/>
      <c r="D254" s="24"/>
      <c r="E254" s="7"/>
    </row>
    <row r="255" spans="2:5" s="5" customFormat="1" x14ac:dyDescent="0.25">
      <c r="B255" s="23"/>
      <c r="C255" s="7"/>
      <c r="D255" s="24"/>
      <c r="E255" s="7"/>
    </row>
    <row r="256" spans="2:5" s="5" customFormat="1" x14ac:dyDescent="0.25">
      <c r="B256" s="23"/>
      <c r="C256" s="7"/>
      <c r="D256" s="24"/>
      <c r="E256" s="7"/>
    </row>
    <row r="257" spans="2:5" s="5" customFormat="1" x14ac:dyDescent="0.25">
      <c r="B257" s="23"/>
      <c r="C257" s="7"/>
      <c r="D257" s="24"/>
      <c r="E257" s="7"/>
    </row>
    <row r="258" spans="2:5" s="5" customFormat="1" x14ac:dyDescent="0.25">
      <c r="B258" s="23"/>
      <c r="C258" s="7"/>
      <c r="D258" s="24"/>
      <c r="E258" s="7"/>
    </row>
    <row r="259" spans="2:5" s="5" customFormat="1" x14ac:dyDescent="0.25">
      <c r="B259" s="23"/>
      <c r="C259" s="7"/>
      <c r="D259" s="24"/>
      <c r="E259" s="7"/>
    </row>
    <row r="260" spans="2:5" s="5" customFormat="1" x14ac:dyDescent="0.25">
      <c r="B260" s="23"/>
      <c r="C260" s="7"/>
      <c r="D260" s="24"/>
      <c r="E260" s="7"/>
    </row>
    <row r="261" spans="2:5" s="5" customFormat="1" x14ac:dyDescent="0.25">
      <c r="B261" s="23"/>
      <c r="C261" s="7"/>
      <c r="D261" s="24"/>
      <c r="E261" s="7"/>
    </row>
    <row r="262" spans="2:5" s="5" customFormat="1" x14ac:dyDescent="0.25">
      <c r="B262" s="23"/>
      <c r="C262" s="7"/>
      <c r="D262" s="24"/>
      <c r="E262" s="7"/>
    </row>
    <row r="263" spans="2:5" s="5" customFormat="1" x14ac:dyDescent="0.25">
      <c r="B263" s="23"/>
      <c r="C263" s="7"/>
      <c r="D263" s="24"/>
      <c r="E263" s="7"/>
    </row>
    <row r="264" spans="2:5" s="5" customFormat="1" x14ac:dyDescent="0.25">
      <c r="B264" s="23"/>
      <c r="C264" s="7"/>
      <c r="D264" s="24"/>
      <c r="E264" s="7"/>
    </row>
    <row r="265" spans="2:5" s="5" customFormat="1" x14ac:dyDescent="0.25">
      <c r="B265" s="23"/>
      <c r="C265" s="7"/>
      <c r="D265" s="24"/>
      <c r="E265" s="7"/>
    </row>
    <row r="266" spans="2:5" s="5" customFormat="1" x14ac:dyDescent="0.25">
      <c r="B266" s="23"/>
      <c r="C266" s="7"/>
      <c r="D266" s="24"/>
      <c r="E266" s="7"/>
    </row>
    <row r="267" spans="2:5" s="5" customFormat="1" x14ac:dyDescent="0.25">
      <c r="B267" s="23"/>
      <c r="C267" s="7"/>
      <c r="D267" s="24"/>
      <c r="E267" s="7"/>
    </row>
    <row r="268" spans="2:5" s="5" customFormat="1" x14ac:dyDescent="0.25">
      <c r="B268" s="23"/>
      <c r="C268" s="7"/>
      <c r="D268" s="24"/>
      <c r="E268" s="7"/>
    </row>
    <row r="269" spans="2:5" s="5" customFormat="1" x14ac:dyDescent="0.25">
      <c r="B269" s="23"/>
      <c r="C269" s="7"/>
      <c r="D269" s="24"/>
      <c r="E269" s="7"/>
    </row>
    <row r="270" spans="2:5" s="5" customFormat="1" x14ac:dyDescent="0.25">
      <c r="B270" s="23"/>
      <c r="C270" s="7"/>
      <c r="D270" s="24"/>
      <c r="E270" s="7"/>
    </row>
    <row r="271" spans="2:5" s="5" customFormat="1" x14ac:dyDescent="0.25">
      <c r="B271" s="23"/>
      <c r="C271" s="7"/>
      <c r="D271" s="24"/>
      <c r="E271" s="7"/>
    </row>
    <row r="272" spans="2:5" s="5" customFormat="1" x14ac:dyDescent="0.25">
      <c r="B272" s="23"/>
      <c r="C272" s="7"/>
      <c r="D272" s="24"/>
      <c r="E272" s="7"/>
    </row>
    <row r="273" spans="2:5" s="5" customFormat="1" x14ac:dyDescent="0.25">
      <c r="B273" s="23"/>
      <c r="C273" s="7"/>
      <c r="D273" s="24"/>
      <c r="E273" s="7"/>
    </row>
    <row r="274" spans="2:5" s="5" customFormat="1" x14ac:dyDescent="0.25">
      <c r="B274" s="23"/>
      <c r="C274" s="7"/>
      <c r="D274" s="24"/>
      <c r="E274" s="7"/>
    </row>
    <row r="275" spans="2:5" s="5" customFormat="1" x14ac:dyDescent="0.25">
      <c r="B275" s="23"/>
      <c r="C275" s="7"/>
      <c r="D275" s="24"/>
      <c r="E275" s="7"/>
    </row>
    <row r="276" spans="2:5" s="5" customFormat="1" x14ac:dyDescent="0.25">
      <c r="B276" s="23"/>
      <c r="C276" s="7"/>
      <c r="D276" s="24"/>
      <c r="E276" s="7"/>
    </row>
    <row r="277" spans="2:5" s="5" customFormat="1" x14ac:dyDescent="0.25">
      <c r="B277" s="23"/>
      <c r="C277" s="7"/>
      <c r="D277" s="24"/>
      <c r="E277" s="7"/>
    </row>
    <row r="278" spans="2:5" s="5" customFormat="1" x14ac:dyDescent="0.25">
      <c r="B278" s="23"/>
      <c r="C278" s="7"/>
      <c r="D278" s="24"/>
      <c r="E278" s="7"/>
    </row>
    <row r="279" spans="2:5" s="5" customFormat="1" x14ac:dyDescent="0.25">
      <c r="B279" s="23"/>
      <c r="C279" s="7"/>
      <c r="D279" s="24"/>
      <c r="E279" s="7"/>
    </row>
    <row r="280" spans="2:5" s="5" customFormat="1" x14ac:dyDescent="0.25">
      <c r="B280" s="23"/>
      <c r="C280" s="7"/>
      <c r="D280" s="24"/>
      <c r="E280" s="7"/>
    </row>
    <row r="281" spans="2:5" s="5" customFormat="1" x14ac:dyDescent="0.25">
      <c r="B281" s="23"/>
      <c r="C281" s="7"/>
      <c r="D281" s="24"/>
      <c r="E281" s="7"/>
    </row>
    <row r="282" spans="2:5" s="5" customFormat="1" x14ac:dyDescent="0.25">
      <c r="B282" s="23"/>
      <c r="C282" s="7"/>
      <c r="D282" s="24"/>
      <c r="E282" s="7"/>
    </row>
    <row r="283" spans="2:5" s="5" customFormat="1" x14ac:dyDescent="0.25">
      <c r="B283" s="23"/>
      <c r="C283" s="7"/>
      <c r="D283" s="24"/>
      <c r="E283" s="7"/>
    </row>
    <row r="284" spans="2:5" s="5" customFormat="1" x14ac:dyDescent="0.25">
      <c r="B284" s="23"/>
      <c r="C284" s="7"/>
      <c r="D284" s="24"/>
      <c r="E284" s="7"/>
    </row>
    <row r="285" spans="2:5" s="5" customFormat="1" x14ac:dyDescent="0.25">
      <c r="B285" s="23"/>
      <c r="C285" s="7"/>
      <c r="D285" s="24"/>
      <c r="E285" s="7"/>
    </row>
    <row r="286" spans="2:5" s="5" customFormat="1" x14ac:dyDescent="0.25">
      <c r="B286" s="23"/>
      <c r="C286" s="7"/>
      <c r="D286" s="24"/>
      <c r="E286" s="7"/>
    </row>
    <row r="287" spans="2:5" s="5" customFormat="1" x14ac:dyDescent="0.25">
      <c r="B287" s="23"/>
      <c r="C287" s="7"/>
      <c r="D287" s="24"/>
      <c r="E287" s="7"/>
    </row>
    <row r="288" spans="2:5" s="5" customFormat="1" x14ac:dyDescent="0.25">
      <c r="B288" s="23"/>
      <c r="C288" s="7"/>
      <c r="D288" s="24"/>
      <c r="E288" s="7"/>
    </row>
    <row r="289" spans="2:5" s="5" customFormat="1" x14ac:dyDescent="0.25">
      <c r="B289" s="23"/>
      <c r="C289" s="7"/>
      <c r="D289" s="24"/>
      <c r="E289" s="7"/>
    </row>
    <row r="290" spans="2:5" s="5" customFormat="1" x14ac:dyDescent="0.25">
      <c r="B290" s="23"/>
      <c r="C290" s="7"/>
      <c r="D290" s="24"/>
      <c r="E290" s="7"/>
    </row>
    <row r="291" spans="2:5" s="5" customFormat="1" x14ac:dyDescent="0.25">
      <c r="B291" s="23"/>
      <c r="C291" s="7"/>
      <c r="D291" s="24"/>
      <c r="E291" s="7"/>
    </row>
    <row r="292" spans="2:5" s="5" customFormat="1" x14ac:dyDescent="0.25">
      <c r="B292" s="23"/>
      <c r="C292" s="7"/>
      <c r="D292" s="24"/>
      <c r="E292" s="7"/>
    </row>
    <row r="293" spans="2:5" s="5" customFormat="1" x14ac:dyDescent="0.25">
      <c r="B293" s="23"/>
      <c r="C293" s="7"/>
      <c r="D293" s="24"/>
      <c r="E293" s="7"/>
    </row>
    <row r="294" spans="2:5" s="5" customFormat="1" x14ac:dyDescent="0.25">
      <c r="B294" s="23"/>
      <c r="C294" s="7"/>
      <c r="D294" s="24"/>
      <c r="E294" s="7"/>
    </row>
    <row r="295" spans="2:5" s="5" customFormat="1" x14ac:dyDescent="0.25">
      <c r="B295" s="23"/>
      <c r="C295" s="7"/>
      <c r="D295" s="24"/>
      <c r="E295" s="7"/>
    </row>
    <row r="296" spans="2:5" s="5" customFormat="1" x14ac:dyDescent="0.25">
      <c r="B296" s="23"/>
      <c r="C296" s="7"/>
      <c r="D296" s="24"/>
      <c r="E296" s="7"/>
    </row>
    <row r="297" spans="2:5" s="5" customFormat="1" x14ac:dyDescent="0.25">
      <c r="B297" s="23"/>
      <c r="C297" s="7"/>
      <c r="D297" s="24"/>
      <c r="E297" s="7"/>
    </row>
    <row r="298" spans="2:5" s="5" customFormat="1" x14ac:dyDescent="0.25">
      <c r="B298" s="23"/>
      <c r="C298" s="7"/>
      <c r="D298" s="24"/>
      <c r="E298" s="7"/>
    </row>
    <row r="299" spans="2:5" s="5" customFormat="1" x14ac:dyDescent="0.25">
      <c r="B299" s="23"/>
      <c r="C299" s="7"/>
      <c r="D299" s="24"/>
      <c r="E299" s="7"/>
    </row>
    <row r="300" spans="2:5" s="5" customFormat="1" x14ac:dyDescent="0.25">
      <c r="B300" s="23"/>
      <c r="C300" s="7"/>
      <c r="D300" s="24"/>
      <c r="E300" s="7"/>
    </row>
    <row r="301" spans="2:5" s="5" customFormat="1" x14ac:dyDescent="0.25">
      <c r="B301" s="23"/>
      <c r="C301" s="7"/>
      <c r="D301" s="24"/>
      <c r="E301" s="7"/>
    </row>
    <row r="302" spans="2:5" s="5" customFormat="1" x14ac:dyDescent="0.25">
      <c r="B302" s="23"/>
      <c r="C302" s="7"/>
      <c r="D302" s="24"/>
      <c r="E302" s="7"/>
    </row>
    <row r="303" spans="2:5" s="5" customFormat="1" x14ac:dyDescent="0.25">
      <c r="B303" s="23"/>
      <c r="C303" s="7"/>
      <c r="D303" s="24"/>
      <c r="E303" s="7"/>
    </row>
    <row r="304" spans="2:5" s="5" customFormat="1" x14ac:dyDescent="0.25">
      <c r="B304" s="23"/>
      <c r="C304" s="7"/>
      <c r="D304" s="24"/>
      <c r="E304" s="7"/>
    </row>
    <row r="305" spans="2:5" s="5" customFormat="1" x14ac:dyDescent="0.25">
      <c r="B305" s="23"/>
      <c r="C305" s="7"/>
      <c r="D305" s="24"/>
      <c r="E305" s="7"/>
    </row>
    <row r="306" spans="2:5" s="5" customFormat="1" x14ac:dyDescent="0.25">
      <c r="B306" s="23"/>
      <c r="C306" s="7"/>
      <c r="D306" s="24"/>
      <c r="E306" s="7"/>
    </row>
    <row r="307" spans="2:5" s="5" customFormat="1" x14ac:dyDescent="0.25">
      <c r="B307" s="23"/>
      <c r="C307" s="7"/>
      <c r="D307" s="24"/>
      <c r="E307" s="7"/>
    </row>
    <row r="308" spans="2:5" s="5" customFormat="1" x14ac:dyDescent="0.25">
      <c r="B308" s="23"/>
      <c r="C308" s="7"/>
      <c r="D308" s="24"/>
      <c r="E308" s="7"/>
    </row>
    <row r="309" spans="2:5" s="5" customFormat="1" x14ac:dyDescent="0.25">
      <c r="B309" s="23"/>
      <c r="C309" s="7"/>
      <c r="D309" s="24"/>
      <c r="E309" s="7"/>
    </row>
    <row r="310" spans="2:5" s="5" customFormat="1" x14ac:dyDescent="0.25">
      <c r="B310" s="23"/>
      <c r="C310" s="7"/>
      <c r="D310" s="24"/>
      <c r="E310" s="7"/>
    </row>
    <row r="311" spans="2:5" s="5" customFormat="1" x14ac:dyDescent="0.25">
      <c r="B311" s="23"/>
      <c r="C311" s="7"/>
      <c r="D311" s="24"/>
      <c r="E311" s="7"/>
    </row>
    <row r="312" spans="2:5" s="5" customFormat="1" x14ac:dyDescent="0.25">
      <c r="B312" s="23"/>
      <c r="C312" s="7"/>
      <c r="D312" s="24"/>
      <c r="E312" s="7"/>
    </row>
    <row r="313" spans="2:5" s="5" customFormat="1" x14ac:dyDescent="0.25">
      <c r="B313" s="23"/>
      <c r="C313" s="7"/>
      <c r="D313" s="24"/>
      <c r="E313" s="7"/>
    </row>
    <row r="314" spans="2:5" s="5" customFormat="1" x14ac:dyDescent="0.25">
      <c r="B314" s="23"/>
      <c r="C314" s="7"/>
      <c r="D314" s="24"/>
      <c r="E314" s="7"/>
    </row>
    <row r="315" spans="2:5" s="5" customFormat="1" x14ac:dyDescent="0.25">
      <c r="B315" s="23"/>
      <c r="C315" s="7"/>
      <c r="D315" s="24"/>
      <c r="E315" s="7"/>
    </row>
    <row r="316" spans="2:5" s="5" customFormat="1" x14ac:dyDescent="0.25">
      <c r="B316" s="23"/>
      <c r="C316" s="7"/>
      <c r="D316" s="24"/>
      <c r="E316" s="7"/>
    </row>
    <row r="317" spans="2:5" s="5" customFormat="1" x14ac:dyDescent="0.25">
      <c r="B317" s="23"/>
      <c r="C317" s="7"/>
      <c r="D317" s="24"/>
      <c r="E317" s="7"/>
    </row>
    <row r="318" spans="2:5" s="5" customFormat="1" x14ac:dyDescent="0.25">
      <c r="B318" s="23"/>
      <c r="C318" s="7"/>
      <c r="D318" s="24"/>
      <c r="E318" s="7"/>
    </row>
    <row r="319" spans="2:5" s="5" customFormat="1" x14ac:dyDescent="0.25">
      <c r="B319" s="23"/>
      <c r="C319" s="7"/>
      <c r="D319" s="24"/>
      <c r="E319" s="7"/>
    </row>
    <row r="320" spans="2:5" s="5" customFormat="1" x14ac:dyDescent="0.25">
      <c r="B320" s="23"/>
      <c r="C320" s="7"/>
      <c r="D320" s="24"/>
      <c r="E320" s="7"/>
    </row>
    <row r="321" spans="2:5" s="5" customFormat="1" x14ac:dyDescent="0.25">
      <c r="B321" s="23"/>
      <c r="C321" s="7"/>
      <c r="D321" s="24"/>
      <c r="E321" s="7"/>
    </row>
    <row r="322" spans="2:5" s="5" customFormat="1" x14ac:dyDescent="0.25">
      <c r="B322" s="23"/>
      <c r="C322" s="7"/>
      <c r="D322" s="24"/>
      <c r="E322" s="7"/>
    </row>
    <row r="323" spans="2:5" s="5" customFormat="1" x14ac:dyDescent="0.25">
      <c r="B323" s="23"/>
      <c r="C323" s="7"/>
      <c r="D323" s="24"/>
      <c r="E323" s="7"/>
    </row>
    <row r="324" spans="2:5" s="5" customFormat="1" x14ac:dyDescent="0.25">
      <c r="B324" s="23"/>
      <c r="C324" s="7"/>
      <c r="D324" s="24"/>
      <c r="E324" s="7"/>
    </row>
    <row r="325" spans="2:5" s="5" customFormat="1" x14ac:dyDescent="0.25">
      <c r="B325" s="23"/>
      <c r="C325" s="7"/>
      <c r="D325" s="24"/>
      <c r="E325" s="7"/>
    </row>
    <row r="326" spans="2:5" s="5" customFormat="1" x14ac:dyDescent="0.25">
      <c r="B326" s="23"/>
      <c r="C326" s="7"/>
      <c r="D326" s="24"/>
      <c r="E326" s="7"/>
    </row>
    <row r="327" spans="2:5" s="5" customFormat="1" x14ac:dyDescent="0.25">
      <c r="B327" s="23"/>
      <c r="C327" s="7"/>
      <c r="D327" s="24"/>
      <c r="E327" s="7"/>
    </row>
    <row r="328" spans="2:5" s="5" customFormat="1" x14ac:dyDescent="0.25">
      <c r="B328" s="23"/>
      <c r="C328" s="7"/>
      <c r="D328" s="24"/>
      <c r="E328" s="7"/>
    </row>
    <row r="329" spans="2:5" s="5" customFormat="1" x14ac:dyDescent="0.25">
      <c r="B329" s="23"/>
      <c r="C329" s="7"/>
      <c r="D329" s="24"/>
      <c r="E329" s="7"/>
    </row>
    <row r="330" spans="2:5" s="5" customFormat="1" x14ac:dyDescent="0.25">
      <c r="B330" s="23"/>
      <c r="C330" s="7"/>
      <c r="D330" s="24"/>
      <c r="E330" s="7"/>
    </row>
    <row r="331" spans="2:5" s="5" customFormat="1" x14ac:dyDescent="0.25">
      <c r="B331" s="23"/>
      <c r="C331" s="7"/>
      <c r="D331" s="24"/>
      <c r="E331" s="7"/>
    </row>
    <row r="332" spans="2:5" s="5" customFormat="1" x14ac:dyDescent="0.25">
      <c r="B332" s="23"/>
      <c r="C332" s="7"/>
      <c r="D332" s="24"/>
      <c r="E332" s="7"/>
    </row>
    <row r="333" spans="2:5" s="5" customFormat="1" x14ac:dyDescent="0.25">
      <c r="B333" s="23"/>
      <c r="C333" s="7"/>
      <c r="D333" s="24"/>
      <c r="E333" s="7"/>
    </row>
    <row r="334" spans="2:5" s="5" customFormat="1" x14ac:dyDescent="0.25">
      <c r="B334" s="23"/>
      <c r="C334" s="7"/>
      <c r="D334" s="24"/>
      <c r="E334" s="7"/>
    </row>
    <row r="335" spans="2:5" s="5" customFormat="1" x14ac:dyDescent="0.25">
      <c r="B335" s="23"/>
      <c r="C335" s="7"/>
      <c r="D335" s="24"/>
      <c r="E335" s="7"/>
    </row>
    <row r="336" spans="2:5" s="5" customFormat="1" x14ac:dyDescent="0.25">
      <c r="B336" s="23"/>
      <c r="C336" s="7"/>
      <c r="D336" s="24"/>
      <c r="E336" s="7"/>
    </row>
    <row r="337" spans="2:5" s="5" customFormat="1" x14ac:dyDescent="0.25">
      <c r="B337" s="23"/>
      <c r="C337" s="7"/>
      <c r="D337" s="24"/>
      <c r="E337" s="7"/>
    </row>
    <row r="338" spans="2:5" s="5" customFormat="1" x14ac:dyDescent="0.25">
      <c r="B338" s="23"/>
      <c r="C338" s="7"/>
      <c r="D338" s="24"/>
      <c r="E338" s="7"/>
    </row>
    <row r="339" spans="2:5" s="5" customFormat="1" x14ac:dyDescent="0.25">
      <c r="B339" s="23"/>
      <c r="C339" s="7"/>
      <c r="D339" s="24"/>
      <c r="E339" s="7"/>
    </row>
    <row r="340" spans="2:5" s="5" customFormat="1" x14ac:dyDescent="0.25">
      <c r="B340" s="23"/>
      <c r="C340" s="7"/>
      <c r="D340" s="24"/>
      <c r="E340" s="7"/>
    </row>
    <row r="341" spans="2:5" s="5" customFormat="1" x14ac:dyDescent="0.25">
      <c r="B341" s="23"/>
      <c r="C341" s="7"/>
      <c r="D341" s="24"/>
      <c r="E341" s="7"/>
    </row>
    <row r="342" spans="2:5" s="5" customFormat="1" x14ac:dyDescent="0.25">
      <c r="B342" s="23"/>
      <c r="C342" s="7"/>
      <c r="D342" s="24"/>
      <c r="E342" s="7"/>
    </row>
    <row r="343" spans="2:5" s="5" customFormat="1" x14ac:dyDescent="0.25">
      <c r="B343" s="23"/>
      <c r="C343" s="7"/>
      <c r="D343" s="24"/>
      <c r="E343" s="7"/>
    </row>
    <row r="344" spans="2:5" s="5" customFormat="1" x14ac:dyDescent="0.25">
      <c r="B344" s="23"/>
      <c r="C344" s="7"/>
      <c r="D344" s="24"/>
      <c r="E344" s="7"/>
    </row>
    <row r="345" spans="2:5" s="5" customFormat="1" x14ac:dyDescent="0.25">
      <c r="B345" s="23"/>
      <c r="C345" s="7"/>
      <c r="D345" s="24"/>
      <c r="E345" s="7"/>
    </row>
    <row r="346" spans="2:5" s="5" customFormat="1" x14ac:dyDescent="0.25">
      <c r="B346" s="23"/>
      <c r="C346" s="7"/>
      <c r="D346" s="24"/>
      <c r="E346" s="7"/>
    </row>
    <row r="347" spans="2:5" s="5" customFormat="1" x14ac:dyDescent="0.25">
      <c r="B347" s="23"/>
      <c r="C347" s="7"/>
      <c r="D347" s="24"/>
      <c r="E347" s="7"/>
    </row>
    <row r="348" spans="2:5" s="5" customFormat="1" x14ac:dyDescent="0.25">
      <c r="B348" s="23"/>
      <c r="C348" s="7"/>
      <c r="D348" s="24"/>
      <c r="E348" s="7"/>
    </row>
    <row r="349" spans="2:5" s="5" customFormat="1" x14ac:dyDescent="0.25">
      <c r="B349" s="23"/>
      <c r="C349" s="7"/>
      <c r="D349" s="24"/>
      <c r="E349" s="7"/>
    </row>
    <row r="350" spans="2:5" s="5" customFormat="1" x14ac:dyDescent="0.25">
      <c r="B350" s="23"/>
      <c r="C350" s="7"/>
      <c r="D350" s="24"/>
      <c r="E350" s="7"/>
    </row>
    <row r="351" spans="2:5" s="5" customFormat="1" x14ac:dyDescent="0.25">
      <c r="B351" s="23"/>
      <c r="C351" s="7"/>
      <c r="D351" s="24"/>
      <c r="E351" s="7"/>
    </row>
    <row r="352" spans="2:5" s="5" customFormat="1" x14ac:dyDescent="0.25">
      <c r="B352" s="23"/>
      <c r="C352" s="7"/>
      <c r="D352" s="24"/>
      <c r="E352" s="7"/>
    </row>
    <row r="353" spans="2:5" s="5" customFormat="1" x14ac:dyDescent="0.25">
      <c r="B353" s="23"/>
      <c r="C353" s="7"/>
      <c r="D353" s="24"/>
      <c r="E353" s="7"/>
    </row>
    <row r="354" spans="2:5" s="5" customFormat="1" x14ac:dyDescent="0.25">
      <c r="B354" s="23"/>
      <c r="C354" s="7"/>
      <c r="D354" s="24"/>
      <c r="E354" s="7"/>
    </row>
    <row r="355" spans="2:5" s="5" customFormat="1" x14ac:dyDescent="0.25">
      <c r="B355" s="23"/>
      <c r="C355" s="7"/>
      <c r="D355" s="24"/>
      <c r="E355" s="7"/>
    </row>
    <row r="356" spans="2:5" s="5" customFormat="1" x14ac:dyDescent="0.25">
      <c r="B356" s="23"/>
      <c r="C356" s="7"/>
      <c r="D356" s="24"/>
      <c r="E356" s="7"/>
    </row>
    <row r="357" spans="2:5" s="5" customFormat="1" x14ac:dyDescent="0.25">
      <c r="B357" s="23"/>
      <c r="C357" s="7"/>
      <c r="D357" s="24"/>
      <c r="E357" s="7"/>
    </row>
    <row r="358" spans="2:5" s="5" customFormat="1" x14ac:dyDescent="0.25">
      <c r="B358" s="23"/>
      <c r="C358" s="7"/>
      <c r="D358" s="24"/>
      <c r="E358" s="7"/>
    </row>
    <row r="359" spans="2:5" s="5" customFormat="1" x14ac:dyDescent="0.25">
      <c r="B359" s="23"/>
      <c r="C359" s="7"/>
      <c r="D359" s="24"/>
      <c r="E359" s="7"/>
    </row>
    <row r="360" spans="2:5" s="5" customFormat="1" x14ac:dyDescent="0.25">
      <c r="B360" s="23"/>
      <c r="C360" s="7"/>
      <c r="D360" s="24"/>
      <c r="E360" s="7"/>
    </row>
    <row r="361" spans="2:5" s="5" customFormat="1" x14ac:dyDescent="0.25">
      <c r="B361" s="23"/>
      <c r="C361" s="7"/>
      <c r="D361" s="24"/>
      <c r="E361" s="7"/>
    </row>
    <row r="362" spans="2:5" s="5" customFormat="1" x14ac:dyDescent="0.25">
      <c r="B362" s="23"/>
      <c r="C362" s="7"/>
      <c r="D362" s="24"/>
      <c r="E362" s="7"/>
    </row>
    <row r="363" spans="2:5" s="5" customFormat="1" x14ac:dyDescent="0.25">
      <c r="B363" s="23"/>
      <c r="C363" s="7"/>
      <c r="D363" s="24"/>
      <c r="E363" s="7"/>
    </row>
    <row r="364" spans="2:5" s="5" customFormat="1" x14ac:dyDescent="0.25">
      <c r="B364" s="23"/>
      <c r="C364" s="7"/>
      <c r="D364" s="24"/>
      <c r="E364" s="7"/>
    </row>
    <row r="365" spans="2:5" s="5" customFormat="1" x14ac:dyDescent="0.25">
      <c r="B365" s="23"/>
      <c r="C365" s="7"/>
      <c r="D365" s="24"/>
      <c r="E365" s="7"/>
    </row>
    <row r="366" spans="2:5" s="5" customFormat="1" x14ac:dyDescent="0.25">
      <c r="B366" s="23"/>
      <c r="C366" s="7"/>
      <c r="D366" s="24"/>
      <c r="E366" s="7"/>
    </row>
    <row r="367" spans="2:5" s="5" customFormat="1" x14ac:dyDescent="0.25">
      <c r="B367" s="23"/>
      <c r="C367" s="7"/>
      <c r="D367" s="24"/>
      <c r="E367" s="7"/>
    </row>
    <row r="368" spans="2:5" s="5" customFormat="1" x14ac:dyDescent="0.25">
      <c r="B368" s="23"/>
      <c r="C368" s="7"/>
      <c r="D368" s="24"/>
      <c r="E368" s="7"/>
    </row>
    <row r="369" spans="2:5" s="5" customFormat="1" x14ac:dyDescent="0.25">
      <c r="B369" s="23"/>
      <c r="C369" s="7"/>
      <c r="D369" s="24"/>
      <c r="E369" s="7"/>
    </row>
    <row r="370" spans="2:5" s="5" customFormat="1" x14ac:dyDescent="0.25">
      <c r="B370" s="23"/>
      <c r="C370" s="7"/>
      <c r="D370" s="24"/>
      <c r="E370" s="7"/>
    </row>
    <row r="371" spans="2:5" s="5" customFormat="1" x14ac:dyDescent="0.25">
      <c r="B371" s="23"/>
      <c r="C371" s="7"/>
      <c r="D371" s="24"/>
      <c r="E371" s="7"/>
    </row>
    <row r="372" spans="2:5" s="5" customFormat="1" x14ac:dyDescent="0.25">
      <c r="B372" s="23"/>
      <c r="C372" s="7"/>
      <c r="D372" s="24"/>
      <c r="E372" s="7"/>
    </row>
    <row r="373" spans="2:5" s="5" customFormat="1" x14ac:dyDescent="0.25">
      <c r="B373" s="23"/>
      <c r="C373" s="7"/>
      <c r="D373" s="24"/>
      <c r="E373" s="7"/>
    </row>
    <row r="374" spans="2:5" s="5" customFormat="1" x14ac:dyDescent="0.25">
      <c r="B374" s="23"/>
      <c r="C374" s="7"/>
      <c r="D374" s="24"/>
      <c r="E374" s="7"/>
    </row>
    <row r="375" spans="2:5" s="5" customFormat="1" x14ac:dyDescent="0.25">
      <c r="B375" s="23"/>
      <c r="C375" s="7"/>
      <c r="D375" s="24"/>
      <c r="E375" s="7"/>
    </row>
    <row r="376" spans="2:5" s="5" customFormat="1" x14ac:dyDescent="0.25">
      <c r="B376" s="23"/>
      <c r="C376" s="7"/>
      <c r="D376" s="24"/>
      <c r="E376" s="7"/>
    </row>
    <row r="377" spans="2:5" s="5" customFormat="1" x14ac:dyDescent="0.25">
      <c r="B377" s="23"/>
      <c r="C377" s="7"/>
      <c r="D377" s="24"/>
      <c r="E377" s="7"/>
    </row>
    <row r="378" spans="2:5" s="5" customFormat="1" x14ac:dyDescent="0.25">
      <c r="B378" s="23"/>
      <c r="C378" s="7"/>
      <c r="D378" s="24"/>
      <c r="E378" s="7"/>
    </row>
    <row r="379" spans="2:5" s="5" customFormat="1" x14ac:dyDescent="0.25">
      <c r="B379" s="23"/>
      <c r="C379" s="7"/>
      <c r="D379" s="24"/>
      <c r="E379" s="7"/>
    </row>
    <row r="380" spans="2:5" s="5" customFormat="1" x14ac:dyDescent="0.25">
      <c r="B380" s="23"/>
      <c r="C380" s="7"/>
      <c r="D380" s="24"/>
      <c r="E380" s="7"/>
    </row>
    <row r="381" spans="2:5" s="5" customFormat="1" x14ac:dyDescent="0.25">
      <c r="B381" s="23"/>
      <c r="C381" s="7"/>
      <c r="D381" s="24"/>
      <c r="E381" s="7"/>
    </row>
    <row r="382" spans="2:5" s="5" customFormat="1" x14ac:dyDescent="0.25">
      <c r="B382" s="23"/>
      <c r="C382" s="7"/>
      <c r="D382" s="24"/>
      <c r="E382" s="7"/>
    </row>
    <row r="383" spans="2:5" s="5" customFormat="1" x14ac:dyDescent="0.25">
      <c r="B383" s="23"/>
      <c r="C383" s="7"/>
      <c r="D383" s="24"/>
      <c r="E383" s="7"/>
    </row>
    <row r="384" spans="2:5" s="5" customFormat="1" x14ac:dyDescent="0.25">
      <c r="B384" s="23"/>
      <c r="C384" s="7"/>
      <c r="D384" s="24"/>
      <c r="E384" s="7"/>
    </row>
    <row r="385" spans="2:5" s="5" customFormat="1" x14ac:dyDescent="0.25">
      <c r="B385" s="23"/>
      <c r="C385" s="7"/>
      <c r="D385" s="24"/>
      <c r="E385" s="7"/>
    </row>
    <row r="386" spans="2:5" s="5" customFormat="1" x14ac:dyDescent="0.25">
      <c r="B386" s="23"/>
      <c r="C386" s="7"/>
      <c r="D386" s="24"/>
      <c r="E386" s="7"/>
    </row>
    <row r="387" spans="2:5" s="5" customFormat="1" x14ac:dyDescent="0.25">
      <c r="B387" s="23"/>
      <c r="C387" s="7"/>
      <c r="D387" s="24"/>
      <c r="E387" s="7"/>
    </row>
    <row r="388" spans="2:5" s="5" customFormat="1" x14ac:dyDescent="0.25">
      <c r="B388" s="23"/>
      <c r="C388" s="7"/>
      <c r="D388" s="24"/>
      <c r="E388" s="7"/>
    </row>
    <row r="389" spans="2:5" s="5" customFormat="1" x14ac:dyDescent="0.25">
      <c r="B389" s="23"/>
      <c r="C389" s="7"/>
      <c r="D389" s="24"/>
      <c r="E389" s="7"/>
    </row>
    <row r="390" spans="2:5" s="5" customFormat="1" x14ac:dyDescent="0.25">
      <c r="B390" s="23"/>
      <c r="C390" s="7"/>
      <c r="D390" s="24"/>
      <c r="E390" s="7"/>
    </row>
    <row r="391" spans="2:5" s="5" customFormat="1" x14ac:dyDescent="0.25">
      <c r="B391" s="23"/>
      <c r="C391" s="7"/>
      <c r="D391" s="24"/>
      <c r="E391" s="7"/>
    </row>
    <row r="392" spans="2:5" s="5" customFormat="1" x14ac:dyDescent="0.25">
      <c r="B392" s="23"/>
      <c r="C392" s="7"/>
      <c r="D392" s="24"/>
      <c r="E392" s="7"/>
    </row>
    <row r="393" spans="2:5" s="5" customFormat="1" x14ac:dyDescent="0.25">
      <c r="B393" s="23"/>
      <c r="C393" s="7"/>
      <c r="D393" s="24"/>
      <c r="E393" s="7"/>
    </row>
    <row r="394" spans="2:5" s="5" customFormat="1" x14ac:dyDescent="0.25">
      <c r="B394" s="23"/>
      <c r="C394" s="7"/>
      <c r="D394" s="24"/>
      <c r="E394" s="7"/>
    </row>
    <row r="395" spans="2:5" s="5" customFormat="1" x14ac:dyDescent="0.25">
      <c r="B395" s="23"/>
      <c r="C395" s="7"/>
      <c r="D395" s="24"/>
      <c r="E395" s="7"/>
    </row>
    <row r="396" spans="2:5" s="5" customFormat="1" x14ac:dyDescent="0.25">
      <c r="B396" s="23"/>
      <c r="C396" s="7"/>
      <c r="D396" s="24"/>
      <c r="E396" s="7"/>
    </row>
    <row r="397" spans="2:5" s="5" customFormat="1" x14ac:dyDescent="0.25">
      <c r="B397" s="23"/>
      <c r="C397" s="7"/>
      <c r="D397" s="24"/>
      <c r="E397" s="7"/>
    </row>
    <row r="398" spans="2:5" s="5" customFormat="1" x14ac:dyDescent="0.25">
      <c r="B398" s="23"/>
      <c r="C398" s="7"/>
      <c r="D398" s="24"/>
      <c r="E398" s="7"/>
    </row>
    <row r="399" spans="2:5" s="5" customFormat="1" x14ac:dyDescent="0.25">
      <c r="B399" s="23"/>
      <c r="C399" s="7"/>
      <c r="D399" s="24"/>
      <c r="E399" s="7"/>
    </row>
    <row r="400" spans="2:5" s="5" customFormat="1" x14ac:dyDescent="0.25">
      <c r="B400" s="23"/>
      <c r="C400" s="7"/>
      <c r="D400" s="24"/>
      <c r="E400" s="7"/>
    </row>
    <row r="401" spans="2:5" s="5" customFormat="1" x14ac:dyDescent="0.25">
      <c r="B401" s="23"/>
      <c r="C401" s="7"/>
      <c r="D401" s="24"/>
      <c r="E401" s="7"/>
    </row>
    <row r="402" spans="2:5" s="5" customFormat="1" x14ac:dyDescent="0.25">
      <c r="B402" s="23"/>
      <c r="C402" s="7"/>
      <c r="D402" s="24"/>
      <c r="E402" s="7"/>
    </row>
    <row r="403" spans="2:5" s="5" customFormat="1" x14ac:dyDescent="0.25">
      <c r="B403" s="23"/>
      <c r="C403" s="7"/>
      <c r="D403" s="24"/>
      <c r="E403" s="7"/>
    </row>
    <row r="404" spans="2:5" s="5" customFormat="1" x14ac:dyDescent="0.25">
      <c r="B404" s="23"/>
      <c r="C404" s="7"/>
      <c r="D404" s="24"/>
      <c r="E404" s="7"/>
    </row>
    <row r="405" spans="2:5" s="5" customFormat="1" x14ac:dyDescent="0.25">
      <c r="B405" s="23"/>
      <c r="C405" s="7"/>
      <c r="D405" s="24"/>
      <c r="E405" s="7"/>
    </row>
    <row r="406" spans="2:5" s="5" customFormat="1" x14ac:dyDescent="0.25">
      <c r="B406" s="23"/>
      <c r="C406" s="7"/>
      <c r="D406" s="24"/>
      <c r="E406" s="7"/>
    </row>
    <row r="407" spans="2:5" s="5" customFormat="1" x14ac:dyDescent="0.25">
      <c r="B407" s="23"/>
      <c r="C407" s="7"/>
      <c r="D407" s="24"/>
      <c r="E407" s="7"/>
    </row>
    <row r="408" spans="2:5" s="5" customFormat="1" x14ac:dyDescent="0.25">
      <c r="B408" s="23"/>
      <c r="C408" s="7"/>
      <c r="D408" s="24"/>
      <c r="E408" s="7"/>
    </row>
    <row r="409" spans="2:5" s="5" customFormat="1" x14ac:dyDescent="0.25">
      <c r="B409" s="23"/>
      <c r="C409" s="7"/>
      <c r="D409" s="24"/>
      <c r="E409" s="7"/>
    </row>
    <row r="410" spans="2:5" s="5" customFormat="1" x14ac:dyDescent="0.25">
      <c r="B410" s="23"/>
      <c r="C410" s="7"/>
      <c r="D410" s="24"/>
      <c r="E410" s="7"/>
    </row>
    <row r="411" spans="2:5" s="5" customFormat="1" x14ac:dyDescent="0.25">
      <c r="B411" s="23"/>
      <c r="C411" s="7"/>
      <c r="D411" s="24"/>
      <c r="E411" s="7"/>
    </row>
    <row r="412" spans="2:5" s="5" customFormat="1" x14ac:dyDescent="0.25">
      <c r="B412" s="23"/>
      <c r="C412" s="7"/>
      <c r="D412" s="24"/>
      <c r="E412" s="7"/>
    </row>
    <row r="413" spans="2:5" s="5" customFormat="1" x14ac:dyDescent="0.25">
      <c r="B413" s="23"/>
      <c r="C413" s="7"/>
      <c r="D413" s="24"/>
      <c r="E413" s="7"/>
    </row>
    <row r="414" spans="2:5" s="5" customFormat="1" x14ac:dyDescent="0.25">
      <c r="B414" s="23"/>
      <c r="C414" s="7"/>
      <c r="D414" s="24"/>
      <c r="E414" s="7"/>
    </row>
    <row r="415" spans="2:5" s="5" customFormat="1" x14ac:dyDescent="0.25">
      <c r="B415" s="23"/>
      <c r="C415" s="7"/>
      <c r="D415" s="24"/>
      <c r="E415" s="7"/>
    </row>
    <row r="416" spans="2:5" s="5" customFormat="1" x14ac:dyDescent="0.25">
      <c r="B416" s="23"/>
      <c r="C416" s="7"/>
      <c r="D416" s="24"/>
      <c r="E416" s="7"/>
    </row>
    <row r="417" spans="2:5" s="5" customFormat="1" x14ac:dyDescent="0.25">
      <c r="B417" s="23"/>
      <c r="C417" s="7"/>
      <c r="D417" s="24"/>
      <c r="E417" s="7"/>
    </row>
    <row r="418" spans="2:5" s="5" customFormat="1" x14ac:dyDescent="0.25">
      <c r="B418" s="23"/>
      <c r="C418" s="7"/>
      <c r="D418" s="24"/>
      <c r="E418" s="7"/>
    </row>
    <row r="419" spans="2:5" s="5" customFormat="1" x14ac:dyDescent="0.25">
      <c r="B419" s="23"/>
      <c r="C419" s="7"/>
      <c r="D419" s="24"/>
      <c r="E419" s="7"/>
    </row>
    <row r="420" spans="2:5" s="5" customFormat="1" x14ac:dyDescent="0.25">
      <c r="B420" s="23"/>
      <c r="C420" s="7"/>
      <c r="D420" s="24"/>
      <c r="E420" s="7"/>
    </row>
    <row r="421" spans="2:5" s="5" customFormat="1" x14ac:dyDescent="0.25">
      <c r="B421" s="23"/>
      <c r="C421" s="7"/>
      <c r="D421" s="24"/>
      <c r="E421" s="7"/>
    </row>
    <row r="422" spans="2:5" s="5" customFormat="1" x14ac:dyDescent="0.25">
      <c r="B422" s="23"/>
      <c r="C422" s="7"/>
      <c r="D422" s="24"/>
      <c r="E422" s="7"/>
    </row>
    <row r="423" spans="2:5" s="5" customFormat="1" x14ac:dyDescent="0.25">
      <c r="B423" s="23"/>
      <c r="C423" s="7"/>
      <c r="D423" s="24"/>
      <c r="E423" s="7"/>
    </row>
    <row r="424" spans="2:5" s="5" customFormat="1" x14ac:dyDescent="0.25">
      <c r="B424" s="23"/>
      <c r="C424" s="7"/>
      <c r="D424" s="24"/>
      <c r="E424" s="7"/>
    </row>
    <row r="425" spans="2:5" s="5" customFormat="1" x14ac:dyDescent="0.25">
      <c r="B425" s="23"/>
      <c r="C425" s="7"/>
      <c r="D425" s="24"/>
      <c r="E425" s="7"/>
    </row>
    <row r="426" spans="2:5" s="5" customFormat="1" x14ac:dyDescent="0.25">
      <c r="B426" s="23"/>
      <c r="C426" s="7"/>
      <c r="D426" s="24"/>
      <c r="E426" s="7"/>
    </row>
    <row r="427" spans="2:5" s="5" customFormat="1" x14ac:dyDescent="0.25">
      <c r="B427" s="23"/>
      <c r="C427" s="7"/>
      <c r="D427" s="24"/>
      <c r="E427" s="7"/>
    </row>
    <row r="428" spans="2:5" s="5" customFormat="1" x14ac:dyDescent="0.25">
      <c r="B428" s="23"/>
      <c r="C428" s="7"/>
      <c r="D428" s="24"/>
      <c r="E428" s="7"/>
    </row>
    <row r="429" spans="2:5" s="5" customFormat="1" x14ac:dyDescent="0.25">
      <c r="B429" s="23"/>
      <c r="C429" s="7"/>
      <c r="D429" s="24"/>
      <c r="E429" s="7"/>
    </row>
    <row r="430" spans="2:5" s="5" customFormat="1" x14ac:dyDescent="0.25">
      <c r="B430" s="23"/>
      <c r="C430" s="7"/>
      <c r="D430" s="24"/>
      <c r="E430" s="7"/>
    </row>
    <row r="431" spans="2:5" s="5" customFormat="1" x14ac:dyDescent="0.25">
      <c r="B431" s="23"/>
      <c r="C431" s="7"/>
      <c r="D431" s="24"/>
      <c r="E431" s="7"/>
    </row>
    <row r="432" spans="2:5" s="5" customFormat="1" x14ac:dyDescent="0.25">
      <c r="B432" s="23"/>
      <c r="C432" s="7"/>
      <c r="D432" s="24"/>
      <c r="E432" s="7"/>
    </row>
    <row r="433" spans="2:5" s="5" customFormat="1" x14ac:dyDescent="0.25">
      <c r="B433" s="23"/>
      <c r="C433" s="7"/>
      <c r="D433" s="24"/>
      <c r="E433" s="7"/>
    </row>
    <row r="434" spans="2:5" s="5" customFormat="1" x14ac:dyDescent="0.25">
      <c r="B434" s="23"/>
      <c r="C434" s="7"/>
      <c r="D434" s="24"/>
      <c r="E434" s="7"/>
    </row>
    <row r="435" spans="2:5" s="5" customFormat="1" x14ac:dyDescent="0.25">
      <c r="B435" s="23"/>
      <c r="C435" s="7"/>
      <c r="D435" s="24"/>
      <c r="E435" s="7"/>
    </row>
    <row r="436" spans="2:5" s="5" customFormat="1" x14ac:dyDescent="0.25">
      <c r="B436" s="23"/>
      <c r="C436" s="7"/>
      <c r="D436" s="24"/>
      <c r="E436" s="7"/>
    </row>
    <row r="437" spans="2:5" s="5" customFormat="1" x14ac:dyDescent="0.25">
      <c r="B437" s="23"/>
      <c r="C437" s="7"/>
      <c r="D437" s="24"/>
      <c r="E437" s="7"/>
    </row>
    <row r="438" spans="2:5" s="5" customFormat="1" x14ac:dyDescent="0.25">
      <c r="B438" s="23"/>
      <c r="C438" s="7"/>
      <c r="D438" s="24"/>
      <c r="E438" s="7"/>
    </row>
    <row r="439" spans="2:5" s="5" customFormat="1" x14ac:dyDescent="0.25">
      <c r="B439" s="23"/>
      <c r="C439" s="7"/>
      <c r="D439" s="24"/>
      <c r="E439" s="7"/>
    </row>
    <row r="440" spans="2:5" s="5" customFormat="1" x14ac:dyDescent="0.25">
      <c r="B440" s="23"/>
      <c r="C440" s="7"/>
      <c r="D440" s="24"/>
      <c r="E440" s="7"/>
    </row>
    <row r="441" spans="2:5" s="5" customFormat="1" x14ac:dyDescent="0.25">
      <c r="B441" s="23"/>
      <c r="C441" s="7"/>
      <c r="D441" s="24"/>
      <c r="E441" s="7"/>
    </row>
    <row r="442" spans="2:5" s="5" customFormat="1" x14ac:dyDescent="0.25">
      <c r="B442" s="23"/>
      <c r="C442" s="7"/>
      <c r="D442" s="24"/>
      <c r="E442" s="7"/>
    </row>
    <row r="443" spans="2:5" s="5" customFormat="1" x14ac:dyDescent="0.25">
      <c r="B443" s="23"/>
      <c r="C443" s="7"/>
      <c r="D443" s="24"/>
      <c r="E443" s="7"/>
    </row>
    <row r="444" spans="2:5" s="5" customFormat="1" x14ac:dyDescent="0.25">
      <c r="B444" s="23"/>
      <c r="C444" s="7"/>
      <c r="D444" s="24"/>
      <c r="E444" s="7"/>
    </row>
    <row r="445" spans="2:5" s="5" customFormat="1" x14ac:dyDescent="0.25">
      <c r="B445" s="23"/>
      <c r="C445" s="7"/>
      <c r="D445" s="24"/>
      <c r="E445" s="7"/>
    </row>
    <row r="446" spans="2:5" s="5" customFormat="1" x14ac:dyDescent="0.25">
      <c r="B446" s="23"/>
      <c r="C446" s="7"/>
      <c r="D446" s="24"/>
      <c r="E446" s="7"/>
    </row>
    <row r="447" spans="2:5" s="5" customFormat="1" x14ac:dyDescent="0.25">
      <c r="B447" s="23"/>
      <c r="C447" s="7"/>
      <c r="D447" s="24"/>
      <c r="E447" s="7"/>
    </row>
    <row r="448" spans="2:5" s="5" customFormat="1" x14ac:dyDescent="0.25">
      <c r="B448" s="23"/>
      <c r="C448" s="7"/>
      <c r="D448" s="24"/>
      <c r="E448" s="7"/>
    </row>
    <row r="449" spans="2:5" s="5" customFormat="1" x14ac:dyDescent="0.25">
      <c r="B449" s="23"/>
      <c r="C449" s="7"/>
      <c r="D449" s="24"/>
      <c r="E449" s="7"/>
    </row>
    <row r="450" spans="2:5" s="5" customFormat="1" x14ac:dyDescent="0.25">
      <c r="B450" s="23"/>
      <c r="C450" s="7"/>
      <c r="D450" s="24"/>
      <c r="E450" s="7"/>
    </row>
    <row r="451" spans="2:5" s="5" customFormat="1" x14ac:dyDescent="0.25">
      <c r="B451" s="23"/>
      <c r="C451" s="7"/>
      <c r="D451" s="24"/>
      <c r="E451" s="7"/>
    </row>
    <row r="452" spans="2:5" s="5" customFormat="1" x14ac:dyDescent="0.25">
      <c r="B452" s="23"/>
      <c r="C452" s="7"/>
      <c r="D452" s="24"/>
      <c r="E452" s="7"/>
    </row>
    <row r="453" spans="2:5" s="5" customFormat="1" x14ac:dyDescent="0.25">
      <c r="B453" s="23"/>
      <c r="C453" s="7"/>
      <c r="D453" s="24"/>
      <c r="E453" s="7"/>
    </row>
    <row r="454" spans="2:5" s="5" customFormat="1" x14ac:dyDescent="0.25">
      <c r="B454" s="23"/>
      <c r="C454" s="7"/>
      <c r="D454" s="24"/>
      <c r="E454" s="7"/>
    </row>
    <row r="455" spans="2:5" s="5" customFormat="1" x14ac:dyDescent="0.25">
      <c r="B455" s="23"/>
      <c r="C455" s="7"/>
      <c r="D455" s="24"/>
      <c r="E455" s="7"/>
    </row>
    <row r="456" spans="2:5" s="5" customFormat="1" x14ac:dyDescent="0.25">
      <c r="B456" s="1"/>
      <c r="C456" s="2"/>
      <c r="D456" s="3"/>
      <c r="E456" s="7"/>
    </row>
    <row r="457" spans="2:5" s="5" customFormat="1" x14ac:dyDescent="0.25">
      <c r="B457" s="1"/>
      <c r="C457" s="2"/>
      <c r="D457" s="3"/>
      <c r="E457" s="7"/>
    </row>
    <row r="458" spans="2:5" s="5" customFormat="1" x14ac:dyDescent="0.25">
      <c r="B458" s="1"/>
      <c r="C458" s="2"/>
      <c r="D458" s="3"/>
      <c r="E458" s="7"/>
    </row>
    <row r="459" spans="2:5" s="5" customFormat="1" x14ac:dyDescent="0.25">
      <c r="B459" s="1"/>
      <c r="C459" s="2"/>
      <c r="D459" s="3"/>
      <c r="E459" s="7"/>
    </row>
    <row r="460" spans="2:5" s="5" customFormat="1" x14ac:dyDescent="0.25">
      <c r="B460" s="1"/>
      <c r="C460" s="2"/>
      <c r="D460" s="3"/>
      <c r="E460" s="7"/>
    </row>
    <row r="461" spans="2:5" s="5" customFormat="1" x14ac:dyDescent="0.25">
      <c r="B461" s="1"/>
      <c r="C461" s="2"/>
      <c r="D461" s="3"/>
      <c r="E461" s="7"/>
    </row>
    <row r="462" spans="2:5" s="5" customFormat="1" x14ac:dyDescent="0.25">
      <c r="B462" s="1"/>
      <c r="C462" s="2"/>
      <c r="D462" s="3"/>
      <c r="E462" s="7"/>
    </row>
    <row r="463" spans="2:5" s="5" customFormat="1" x14ac:dyDescent="0.25">
      <c r="B463" s="1"/>
      <c r="C463" s="2"/>
      <c r="D463" s="3"/>
      <c r="E463" s="7"/>
    </row>
    <row r="464" spans="2:5" s="5" customFormat="1" x14ac:dyDescent="0.25">
      <c r="B464" s="1"/>
      <c r="C464" s="2"/>
      <c r="D464" s="3"/>
      <c r="E464" s="7"/>
    </row>
    <row r="465" spans="2:5" s="5" customFormat="1" x14ac:dyDescent="0.25">
      <c r="B465" s="1"/>
      <c r="C465" s="2"/>
      <c r="D465" s="3"/>
      <c r="E465" s="7"/>
    </row>
  </sheetData>
  <mergeCells count="17">
    <mergeCell ref="H25:I25"/>
    <mergeCell ref="H26:I26"/>
    <mergeCell ref="B20:C20"/>
    <mergeCell ref="B14:C14"/>
    <mergeCell ref="B15:C15"/>
    <mergeCell ref="B2:G2"/>
    <mergeCell ref="B3:G3"/>
    <mergeCell ref="B5:G5"/>
    <mergeCell ref="B11:C11"/>
    <mergeCell ref="B10:D10"/>
    <mergeCell ref="B7:B8"/>
    <mergeCell ref="B12:C12"/>
    <mergeCell ref="B13:C13"/>
    <mergeCell ref="B16:C16"/>
    <mergeCell ref="B17:C17"/>
    <mergeCell ref="B19:C19"/>
    <mergeCell ref="B18:C18"/>
  </mergeCells>
  <dataValidations count="1">
    <dataValidation type="list" allowBlank="1" showInputMessage="1" showErrorMessage="1" sqref="D17">
      <formula1>$H$25:$H$26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8" r:id="rId4" name="CommandButton1">
          <controlPr defaultSize="0" autoLine="0" r:id="rId5">
            <anchor moveWithCells="1">
              <from>
                <xdr:col>1</xdr:col>
                <xdr:colOff>1304925</xdr:colOff>
                <xdr:row>49</xdr:row>
                <xdr:rowOff>219075</xdr:rowOff>
              </from>
              <to>
                <xdr:col>3</xdr:col>
                <xdr:colOff>9525</xdr:colOff>
                <xdr:row>51</xdr:row>
                <xdr:rowOff>19050</xdr:rowOff>
              </to>
            </anchor>
          </controlPr>
        </control>
      </mc:Choice>
      <mc:Fallback>
        <control shapeId="1038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FFFF97"/>
  </sheetPr>
  <dimension ref="A2:DS597"/>
  <sheetViews>
    <sheetView workbookViewId="0">
      <selection activeCell="K10" sqref="K10"/>
    </sheetView>
  </sheetViews>
  <sheetFormatPr defaultRowHeight="15" x14ac:dyDescent="0.25"/>
  <cols>
    <col min="2" max="2" width="47.85546875" style="5" customWidth="1"/>
    <col min="3" max="3" width="24.28515625" customWidth="1"/>
    <col min="4" max="4" width="22.140625" customWidth="1"/>
    <col min="5" max="5" width="5.28515625" customWidth="1"/>
    <col min="6" max="7" width="9.140625" style="5"/>
    <col min="8" max="8" width="6.85546875" style="5" customWidth="1"/>
    <col min="9" max="123" width="9.140625" style="5"/>
  </cols>
  <sheetData>
    <row r="2" spans="1:123" ht="21" customHeight="1" x14ac:dyDescent="0.25">
      <c r="A2" s="50"/>
      <c r="B2" s="98" t="s">
        <v>30</v>
      </c>
      <c r="C2" s="98"/>
      <c r="D2" s="98"/>
      <c r="E2" s="98"/>
      <c r="F2" s="98"/>
      <c r="G2" s="98"/>
      <c r="H2" s="98"/>
    </row>
    <row r="3" spans="1:123" ht="6" customHeight="1" x14ac:dyDescent="0.25">
      <c r="A3" s="5"/>
      <c r="B3" s="120"/>
      <c r="C3" s="120"/>
      <c r="D3" s="120"/>
      <c r="E3" s="120"/>
      <c r="F3" s="120"/>
      <c r="G3" s="120"/>
      <c r="H3" s="120"/>
    </row>
    <row r="4" spans="1:123" ht="15.75" thickBot="1" x14ac:dyDescent="0.3">
      <c r="A4" s="5"/>
      <c r="C4" s="5"/>
      <c r="D4" s="5"/>
      <c r="E4" s="5"/>
    </row>
    <row r="5" spans="1:123" s="5" customFormat="1" ht="31.5" customHeight="1" thickBot="1" x14ac:dyDescent="0.3">
      <c r="B5" s="101" t="s">
        <v>21</v>
      </c>
      <c r="C5" s="102"/>
      <c r="D5" s="103"/>
    </row>
    <row r="6" spans="1:123" s="5" customFormat="1" ht="20.100000000000001" customHeight="1" x14ac:dyDescent="0.25">
      <c r="B6" s="121" t="s">
        <v>31</v>
      </c>
      <c r="C6" s="122"/>
      <c r="D6" s="83"/>
      <c r="F6" s="110" t="s">
        <v>84</v>
      </c>
      <c r="G6" s="111"/>
      <c r="H6" s="112"/>
    </row>
    <row r="7" spans="1:123" s="5" customFormat="1" ht="20.100000000000001" customHeight="1" x14ac:dyDescent="0.25">
      <c r="B7" s="95" t="s">
        <v>32</v>
      </c>
      <c r="C7" s="109"/>
      <c r="D7" s="46">
        <f>лид/конверсия2</f>
        <v>0</v>
      </c>
      <c r="F7" s="113"/>
      <c r="G7" s="114"/>
      <c r="H7" s="115"/>
    </row>
    <row r="8" spans="1:123" s="5" customFormat="1" ht="20.100000000000001" customHeight="1" x14ac:dyDescent="0.25">
      <c r="B8" s="95" t="s">
        <v>86</v>
      </c>
      <c r="C8" s="109"/>
      <c r="D8" s="92">
        <v>0.2</v>
      </c>
      <c r="F8" s="113"/>
      <c r="G8" s="114"/>
      <c r="H8" s="115"/>
    </row>
    <row r="9" spans="1:123" ht="20.100000000000001" customHeight="1" x14ac:dyDescent="0.25">
      <c r="B9" s="95" t="s">
        <v>87</v>
      </c>
      <c r="C9" s="109"/>
      <c r="D9" s="91">
        <v>0.8</v>
      </c>
      <c r="E9" s="5"/>
      <c r="F9" s="116"/>
      <c r="G9" s="117"/>
      <c r="H9" s="118"/>
      <c r="DS9"/>
    </row>
    <row r="10" spans="1:123" ht="20.100000000000001" customHeight="1" x14ac:dyDescent="0.25">
      <c r="B10" s="95" t="s">
        <v>33</v>
      </c>
      <c r="C10" s="109"/>
      <c r="D10" s="45">
        <v>0.34</v>
      </c>
      <c r="E10" s="27"/>
      <c r="F10" s="119"/>
      <c r="G10" s="119"/>
      <c r="H10" s="119"/>
      <c r="I10" s="27"/>
      <c r="J10" s="27"/>
      <c r="K10" s="27"/>
      <c r="L10" s="28"/>
      <c r="DS10"/>
    </row>
    <row r="11" spans="1:123" ht="20.100000000000001" customHeight="1" x14ac:dyDescent="0.25">
      <c r="B11" s="95" t="s">
        <v>34</v>
      </c>
      <c r="C11" s="109"/>
      <c r="D11" s="46">
        <f>СреднийЧек</f>
        <v>700</v>
      </c>
      <c r="E11" s="27"/>
      <c r="L11" s="28"/>
      <c r="DS11"/>
    </row>
    <row r="12" spans="1:123" ht="20.100000000000001" customHeight="1" x14ac:dyDescent="0.25">
      <c r="B12" s="62" t="s">
        <v>88</v>
      </c>
      <c r="C12" s="63"/>
      <c r="D12" s="83"/>
      <c r="E12" s="27"/>
      <c r="L12" s="28"/>
      <c r="DS12"/>
    </row>
    <row r="13" spans="1:123" s="5" customFormat="1" ht="20.100000000000001" customHeight="1" x14ac:dyDescent="0.25">
      <c r="B13" s="95" t="s">
        <v>85</v>
      </c>
      <c r="C13" s="109"/>
      <c r="D13" s="45">
        <v>40000</v>
      </c>
      <c r="E13" s="27"/>
      <c r="F13" s="50"/>
      <c r="G13" s="50"/>
      <c r="H13" s="50"/>
      <c r="I13" s="50"/>
      <c r="J13" s="50"/>
    </row>
    <row r="14" spans="1:123" s="5" customFormat="1" ht="20.100000000000001" customHeight="1" thickBot="1" x14ac:dyDescent="0.3">
      <c r="B14" s="123" t="s">
        <v>59</v>
      </c>
      <c r="C14" s="124"/>
      <c r="D14" s="76">
        <v>0.15</v>
      </c>
      <c r="E14" s="82"/>
    </row>
    <row r="15" spans="1:123" s="5" customFormat="1" ht="21" customHeight="1" x14ac:dyDescent="0.25">
      <c r="C15" s="23"/>
      <c r="D15" s="7"/>
      <c r="E15" s="24"/>
      <c r="F15" s="7"/>
      <c r="G15" s="28"/>
      <c r="H15" s="28"/>
      <c r="I15" s="28"/>
    </row>
    <row r="16" spans="1:123" s="5" customFormat="1" ht="15.75" customHeight="1" x14ac:dyDescent="0.25">
      <c r="B16" s="98" t="s">
        <v>28</v>
      </c>
      <c r="C16" s="98"/>
      <c r="D16" s="98"/>
      <c r="E16" s="50"/>
      <c r="F16" s="50"/>
      <c r="G16" s="28"/>
      <c r="H16" s="28"/>
      <c r="I16" s="28"/>
      <c r="J16" s="28"/>
      <c r="K16" s="28"/>
    </row>
    <row r="17" spans="2:11" s="5" customFormat="1" ht="4.5" customHeight="1" x14ac:dyDescent="0.25">
      <c r="B17" s="120"/>
      <c r="C17" s="120"/>
      <c r="D17" s="120"/>
      <c r="E17" s="50"/>
      <c r="F17" s="50"/>
      <c r="G17" s="28"/>
      <c r="H17" s="28"/>
      <c r="I17" s="28"/>
      <c r="J17" s="28"/>
      <c r="K17" s="28"/>
    </row>
    <row r="18" spans="2:11" s="5" customFormat="1" ht="16.5" customHeight="1" thickBot="1" x14ac:dyDescent="0.3">
      <c r="G18" s="28"/>
      <c r="H18" s="28"/>
      <c r="I18" s="28"/>
      <c r="J18" s="28"/>
      <c r="K18" s="28"/>
    </row>
    <row r="19" spans="2:11" s="5" customFormat="1" ht="19.5" thickBot="1" x14ac:dyDescent="0.3">
      <c r="B19" s="48" t="s">
        <v>29</v>
      </c>
      <c r="C19" s="49" t="s">
        <v>22</v>
      </c>
      <c r="D19" s="47" t="s">
        <v>14</v>
      </c>
      <c r="E19" s="28"/>
      <c r="F19" s="28"/>
      <c r="G19" s="28"/>
      <c r="H19" s="28"/>
      <c r="I19" s="28"/>
    </row>
    <row r="20" spans="2:11" s="5" customFormat="1" ht="16.5" thickBot="1" x14ac:dyDescent="0.3">
      <c r="B20" s="51" t="s">
        <v>92</v>
      </c>
      <c r="C20" s="88">
        <v>800</v>
      </c>
      <c r="D20" s="44"/>
      <c r="E20" s="28"/>
      <c r="F20" s="28"/>
      <c r="G20" s="28"/>
      <c r="H20" s="28"/>
      <c r="I20" s="28"/>
    </row>
    <row r="21" spans="2:11" s="5" customFormat="1" ht="16.5" thickBot="1" x14ac:dyDescent="0.3">
      <c r="B21" s="52" t="s">
        <v>93</v>
      </c>
      <c r="C21" s="89">
        <v>2000</v>
      </c>
      <c r="D21" s="38"/>
      <c r="E21" s="28"/>
      <c r="F21" s="28"/>
      <c r="G21" s="28"/>
      <c r="H21" s="28"/>
      <c r="I21" s="28"/>
      <c r="J21" s="28"/>
    </row>
    <row r="22" spans="2:11" s="5" customFormat="1" ht="16.5" thickBot="1" x14ac:dyDescent="0.3">
      <c r="B22" s="52" t="s">
        <v>94</v>
      </c>
      <c r="C22" s="89">
        <v>550</v>
      </c>
      <c r="D22" s="38"/>
      <c r="E22" s="28"/>
      <c r="F22" s="28"/>
      <c r="G22" s="28"/>
      <c r="H22" s="28"/>
      <c r="I22" s="28"/>
      <c r="J22" s="28"/>
    </row>
    <row r="23" spans="2:11" s="5" customFormat="1" ht="16.5" thickBot="1" x14ac:dyDescent="0.3">
      <c r="B23" s="52" t="s">
        <v>95</v>
      </c>
      <c r="C23" s="89">
        <v>650</v>
      </c>
      <c r="D23" s="38"/>
      <c r="E23" s="28"/>
      <c r="F23" s="28"/>
      <c r="G23" s="28"/>
      <c r="H23" s="28"/>
      <c r="I23" s="28"/>
      <c r="J23" s="28"/>
    </row>
    <row r="24" spans="2:11" s="5" customFormat="1" ht="16.5" thickBot="1" x14ac:dyDescent="0.3">
      <c r="B24" s="52" t="s">
        <v>96</v>
      </c>
      <c r="C24" s="90">
        <v>300</v>
      </c>
      <c r="D24" s="53"/>
      <c r="E24" s="28"/>
      <c r="F24" s="28"/>
      <c r="G24" s="28"/>
      <c r="H24" s="28"/>
      <c r="I24" s="28"/>
      <c r="J24" s="28"/>
    </row>
    <row r="25" spans="2:11" s="5" customFormat="1" x14ac:dyDescent="0.25">
      <c r="C25" s="28"/>
      <c r="D25" s="28"/>
      <c r="E25" s="28"/>
      <c r="F25" s="28"/>
      <c r="G25" s="28"/>
      <c r="H25" s="28"/>
      <c r="I25" s="28"/>
      <c r="J25" s="28"/>
    </row>
    <row r="26" spans="2:11" s="5" customFormat="1" x14ac:dyDescent="0.25">
      <c r="C26" s="28"/>
      <c r="D26" s="28"/>
      <c r="E26" s="28"/>
      <c r="F26" s="28"/>
      <c r="G26" s="28"/>
      <c r="H26" s="28"/>
      <c r="I26" s="28"/>
      <c r="J26" s="28"/>
    </row>
    <row r="27" spans="2:11" s="5" customFormat="1" x14ac:dyDescent="0.25">
      <c r="C27" s="28"/>
      <c r="D27" s="28"/>
      <c r="E27" s="28"/>
      <c r="F27" s="28"/>
    </row>
    <row r="28" spans="2:11" s="5" customFormat="1" x14ac:dyDescent="0.25">
      <c r="C28" s="28"/>
      <c r="D28" s="28"/>
      <c r="E28" s="28"/>
      <c r="F28" s="28"/>
    </row>
    <row r="29" spans="2:11" s="5" customFormat="1" x14ac:dyDescent="0.25">
      <c r="C29" s="28"/>
      <c r="D29" s="28"/>
      <c r="E29" s="28"/>
      <c r="F29" s="28"/>
    </row>
    <row r="30" spans="2:11" s="5" customFormat="1" x14ac:dyDescent="0.25">
      <c r="C30" s="28"/>
      <c r="D30" s="28"/>
      <c r="E30" s="28"/>
      <c r="F30" s="28"/>
    </row>
    <row r="31" spans="2:11" s="5" customFormat="1" x14ac:dyDescent="0.25"/>
    <row r="32" spans="2:11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pans="3:5" s="5" customFormat="1" x14ac:dyDescent="0.25"/>
    <row r="578" spans="3:5" s="5" customFormat="1" x14ac:dyDescent="0.25"/>
    <row r="579" spans="3:5" s="5" customFormat="1" x14ac:dyDescent="0.25"/>
    <row r="580" spans="3:5" s="5" customFormat="1" x14ac:dyDescent="0.25"/>
    <row r="581" spans="3:5" s="5" customFormat="1" x14ac:dyDescent="0.25"/>
    <row r="582" spans="3:5" s="5" customFormat="1" x14ac:dyDescent="0.25"/>
    <row r="583" spans="3:5" s="5" customFormat="1" x14ac:dyDescent="0.25"/>
    <row r="584" spans="3:5" s="5" customFormat="1" x14ac:dyDescent="0.25"/>
    <row r="585" spans="3:5" s="5" customFormat="1" x14ac:dyDescent="0.25"/>
    <row r="586" spans="3:5" s="5" customFormat="1" x14ac:dyDescent="0.25"/>
    <row r="587" spans="3:5" s="5" customFormat="1" x14ac:dyDescent="0.25"/>
    <row r="588" spans="3:5" x14ac:dyDescent="0.25">
      <c r="C588" s="5"/>
      <c r="D588" s="5"/>
      <c r="E588" s="5"/>
    </row>
    <row r="589" spans="3:5" x14ac:dyDescent="0.25">
      <c r="C589" s="5"/>
      <c r="D589" s="5"/>
      <c r="E589" s="5"/>
    </row>
    <row r="590" spans="3:5" x14ac:dyDescent="0.25">
      <c r="C590" s="5"/>
      <c r="D590" s="5"/>
      <c r="E590" s="5"/>
    </row>
    <row r="591" spans="3:5" x14ac:dyDescent="0.25">
      <c r="C591" s="5"/>
      <c r="D591" s="5"/>
      <c r="E591" s="5"/>
    </row>
    <row r="592" spans="3:5" x14ac:dyDescent="0.25">
      <c r="C592" s="5"/>
      <c r="D592" s="5"/>
      <c r="E592" s="5"/>
    </row>
    <row r="593" spans="3:5" x14ac:dyDescent="0.25">
      <c r="C593" s="5"/>
      <c r="D593" s="5"/>
      <c r="E593" s="5"/>
    </row>
    <row r="594" spans="3:5" x14ac:dyDescent="0.25">
      <c r="C594" s="5"/>
      <c r="D594" s="5"/>
      <c r="E594" s="5"/>
    </row>
    <row r="595" spans="3:5" x14ac:dyDescent="0.25">
      <c r="C595" s="5"/>
      <c r="D595" s="5"/>
      <c r="E595" s="5"/>
    </row>
    <row r="596" spans="3:5" x14ac:dyDescent="0.25">
      <c r="C596" s="5"/>
      <c r="D596" s="5"/>
      <c r="E596" s="5"/>
    </row>
    <row r="597" spans="3:5" x14ac:dyDescent="0.25">
      <c r="C597" s="5"/>
      <c r="D597" s="5"/>
      <c r="E597" s="5"/>
    </row>
  </sheetData>
  <mergeCells count="15">
    <mergeCell ref="B16:D16"/>
    <mergeCell ref="B17:D17"/>
    <mergeCell ref="B11:C11"/>
    <mergeCell ref="B13:C13"/>
    <mergeCell ref="B14:C14"/>
    <mergeCell ref="B2:H2"/>
    <mergeCell ref="B3:H3"/>
    <mergeCell ref="B5:D5"/>
    <mergeCell ref="B6:C6"/>
    <mergeCell ref="B7:C7"/>
    <mergeCell ref="B8:C8"/>
    <mergeCell ref="B9:C9"/>
    <mergeCell ref="B10:C10"/>
    <mergeCell ref="F6:H9"/>
    <mergeCell ref="F10:H10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098" r:id="rId4" name="CommandButton1">
          <controlPr defaultSize="0" autoLine="0" r:id="rId5">
            <anchor moveWithCells="1">
              <from>
                <xdr:col>1</xdr:col>
                <xdr:colOff>1838325</xdr:colOff>
                <xdr:row>25</xdr:row>
                <xdr:rowOff>123825</xdr:rowOff>
              </from>
              <to>
                <xdr:col>3</xdr:col>
                <xdr:colOff>666750</xdr:colOff>
                <xdr:row>27</xdr:row>
                <xdr:rowOff>47625</xdr:rowOff>
              </to>
            </anchor>
          </controlPr>
        </control>
      </mc:Choice>
      <mc:Fallback>
        <control shapeId="4098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92D050"/>
  </sheetPr>
  <dimension ref="A1:DG353"/>
  <sheetViews>
    <sheetView topLeftCell="A12" zoomScale="85" zoomScaleNormal="85" workbookViewId="0">
      <selection activeCell="E18" sqref="E18:AB18"/>
    </sheetView>
  </sheetViews>
  <sheetFormatPr defaultRowHeight="15" outlineLevelRow="1" x14ac:dyDescent="0.25"/>
  <cols>
    <col min="1" max="1" width="4.5703125" customWidth="1"/>
    <col min="2" max="2" width="3.28515625" customWidth="1"/>
    <col min="3" max="3" width="35.5703125" customWidth="1"/>
    <col min="4" max="4" width="9.28515625" bestFit="1" customWidth="1"/>
    <col min="5" max="20" width="11.7109375" customWidth="1"/>
    <col min="21" max="21" width="11.140625" customWidth="1"/>
    <col min="22" max="22" width="10.7109375" customWidth="1"/>
    <col min="23" max="23" width="10.5703125" customWidth="1"/>
    <col min="24" max="24" width="10.42578125" customWidth="1"/>
    <col min="25" max="25" width="10.7109375" customWidth="1"/>
    <col min="26" max="26" width="10.42578125" customWidth="1"/>
    <col min="27" max="27" width="10.5703125" customWidth="1"/>
    <col min="28" max="28" width="10.7109375" customWidth="1"/>
    <col min="30" max="30" width="10.28515625" hidden="1" customWidth="1"/>
    <col min="31" max="111" width="9.140625" style="5"/>
  </cols>
  <sheetData>
    <row r="1" spans="1:111" ht="23.25" customHeight="1" thickBot="1" x14ac:dyDescent="0.3">
      <c r="A1" s="145" t="s">
        <v>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7"/>
      <c r="AC1" s="5"/>
    </row>
    <row r="2" spans="1:111" s="18" customFormat="1" ht="15" customHeight="1" x14ac:dyDescent="0.25">
      <c r="A2" s="149"/>
      <c r="B2" s="150"/>
      <c r="C2" s="151"/>
      <c r="D2" s="20"/>
      <c r="E2" s="20">
        <v>1</v>
      </c>
      <c r="F2" s="20">
        <v>2</v>
      </c>
      <c r="G2" s="20">
        <v>3</v>
      </c>
      <c r="H2" s="20">
        <v>4</v>
      </c>
      <c r="I2" s="20">
        <v>5</v>
      </c>
      <c r="J2" s="20">
        <v>6</v>
      </c>
      <c r="K2" s="20">
        <v>7</v>
      </c>
      <c r="L2" s="20">
        <v>8</v>
      </c>
      <c r="M2" s="20">
        <v>9</v>
      </c>
      <c r="N2" s="20">
        <v>10</v>
      </c>
      <c r="O2" s="20">
        <v>11</v>
      </c>
      <c r="P2" s="20">
        <v>12</v>
      </c>
      <c r="Q2" s="20">
        <v>13</v>
      </c>
      <c r="R2" s="20">
        <v>14</v>
      </c>
      <c r="S2" s="20">
        <v>15</v>
      </c>
      <c r="T2" s="20">
        <v>16</v>
      </c>
      <c r="U2" s="20">
        <v>17</v>
      </c>
      <c r="V2" s="20">
        <v>18</v>
      </c>
      <c r="W2" s="20">
        <v>19</v>
      </c>
      <c r="X2" s="20">
        <v>20</v>
      </c>
      <c r="Y2" s="20">
        <v>21</v>
      </c>
      <c r="Z2" s="20">
        <v>22</v>
      </c>
      <c r="AA2" s="20">
        <v>23</v>
      </c>
      <c r="AB2" s="20">
        <v>24</v>
      </c>
      <c r="AC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</row>
    <row r="3" spans="1:111" ht="15" customHeight="1" x14ac:dyDescent="0.25">
      <c r="A3" s="148" t="s">
        <v>9</v>
      </c>
      <c r="B3" s="148"/>
      <c r="C3" s="148"/>
      <c r="D3" s="13" t="s">
        <v>10</v>
      </c>
      <c r="E3" s="16">
        <f ca="1">EDATE(DATE(YEAR(AD3),MONTH(AD3),DAY(AD3)),срок)</f>
        <v>42918</v>
      </c>
      <c r="F3" s="16">
        <f ca="1">EDATE(DATE(YEAR(E3),MONTH(E3),DAY(E3)),1)</f>
        <v>42949</v>
      </c>
      <c r="G3" s="16">
        <f ca="1">EDATE(DATE(YEAR(F3),MONTH(F3),DAY(F3)),1)</f>
        <v>42980</v>
      </c>
      <c r="H3" s="16">
        <f t="shared" ref="H3:AB3" ca="1" si="0">EDATE(DATE(YEAR(G3),MONTH(G3),DAY(G3)),1)</f>
        <v>43010</v>
      </c>
      <c r="I3" s="16">
        <f t="shared" ca="1" si="0"/>
        <v>43041</v>
      </c>
      <c r="J3" s="16">
        <f t="shared" ca="1" si="0"/>
        <v>43071</v>
      </c>
      <c r="K3" s="16">
        <f t="shared" ca="1" si="0"/>
        <v>43102</v>
      </c>
      <c r="L3" s="16">
        <f t="shared" ca="1" si="0"/>
        <v>43133</v>
      </c>
      <c r="M3" s="16">
        <f t="shared" ca="1" si="0"/>
        <v>43161</v>
      </c>
      <c r="N3" s="16">
        <f t="shared" ca="1" si="0"/>
        <v>43192</v>
      </c>
      <c r="O3" s="16">
        <f t="shared" ca="1" si="0"/>
        <v>43222</v>
      </c>
      <c r="P3" s="16">
        <f t="shared" ca="1" si="0"/>
        <v>43253</v>
      </c>
      <c r="Q3" s="16">
        <f t="shared" ca="1" si="0"/>
        <v>43283</v>
      </c>
      <c r="R3" s="16">
        <f t="shared" ca="1" si="0"/>
        <v>43314</v>
      </c>
      <c r="S3" s="16">
        <f t="shared" ca="1" si="0"/>
        <v>43345</v>
      </c>
      <c r="T3" s="16">
        <f t="shared" ca="1" si="0"/>
        <v>43375</v>
      </c>
      <c r="U3" s="16">
        <f t="shared" ca="1" si="0"/>
        <v>43406</v>
      </c>
      <c r="V3" s="16">
        <f t="shared" ca="1" si="0"/>
        <v>43436</v>
      </c>
      <c r="W3" s="16">
        <f t="shared" ca="1" si="0"/>
        <v>43467</v>
      </c>
      <c r="X3" s="16">
        <f t="shared" ca="1" si="0"/>
        <v>43498</v>
      </c>
      <c r="Y3" s="16">
        <f t="shared" ca="1" si="0"/>
        <v>43526</v>
      </c>
      <c r="Z3" s="16">
        <f t="shared" ca="1" si="0"/>
        <v>43557</v>
      </c>
      <c r="AA3" s="16">
        <f t="shared" ca="1" si="0"/>
        <v>43587</v>
      </c>
      <c r="AB3" s="16">
        <f t="shared" ca="1" si="0"/>
        <v>43618</v>
      </c>
      <c r="AC3" s="5"/>
      <c r="AD3" s="15">
        <f ca="1">TODAY()</f>
        <v>42888</v>
      </c>
    </row>
    <row r="4" spans="1:111" ht="8.25" customHeight="1" x14ac:dyDescent="0.25">
      <c r="A4" s="6"/>
      <c r="B4" s="6"/>
      <c r="C4" s="6"/>
      <c r="D4" s="7"/>
      <c r="E4" s="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111" ht="15" customHeight="1" x14ac:dyDescent="0.25">
      <c r="A5" s="128" t="s">
        <v>3</v>
      </c>
      <c r="B5" s="129"/>
      <c r="C5" s="130"/>
      <c r="D5" s="131" t="s">
        <v>11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 t="s">
        <v>12</v>
      </c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5"/>
    </row>
    <row r="6" spans="1:111" ht="15" customHeight="1" x14ac:dyDescent="0.25">
      <c r="A6" s="8"/>
      <c r="B6" s="86" t="s">
        <v>23</v>
      </c>
      <c r="C6" s="10"/>
      <c r="D6" s="9"/>
      <c r="E6" s="22" t="e">
        <f>E22/лид</f>
        <v>#DIV/0!</v>
      </c>
      <c r="F6" s="22" t="e">
        <f t="shared" ref="F6:AB6" si="1">F22/лид</f>
        <v>#DIV/0!</v>
      </c>
      <c r="G6" s="22" t="e">
        <f t="shared" si="1"/>
        <v>#DIV/0!</v>
      </c>
      <c r="H6" s="22" t="e">
        <f t="shared" si="1"/>
        <v>#DIV/0!</v>
      </c>
      <c r="I6" s="22" t="e">
        <f t="shared" si="1"/>
        <v>#DIV/0!</v>
      </c>
      <c r="J6" s="22" t="e">
        <f t="shared" si="1"/>
        <v>#DIV/0!</v>
      </c>
      <c r="K6" s="22" t="e">
        <f t="shared" si="1"/>
        <v>#DIV/0!</v>
      </c>
      <c r="L6" s="22" t="e">
        <f t="shared" si="1"/>
        <v>#DIV/0!</v>
      </c>
      <c r="M6" s="22" t="e">
        <f t="shared" si="1"/>
        <v>#DIV/0!</v>
      </c>
      <c r="N6" s="22" t="e">
        <f t="shared" si="1"/>
        <v>#DIV/0!</v>
      </c>
      <c r="O6" s="22" t="e">
        <f t="shared" si="1"/>
        <v>#DIV/0!</v>
      </c>
      <c r="P6" s="22" t="e">
        <f t="shared" si="1"/>
        <v>#DIV/0!</v>
      </c>
      <c r="Q6" s="22" t="e">
        <f t="shared" si="1"/>
        <v>#DIV/0!</v>
      </c>
      <c r="R6" s="22" t="e">
        <f t="shared" si="1"/>
        <v>#DIV/0!</v>
      </c>
      <c r="S6" s="22" t="e">
        <f t="shared" si="1"/>
        <v>#DIV/0!</v>
      </c>
      <c r="T6" s="22" t="e">
        <f t="shared" si="1"/>
        <v>#DIV/0!</v>
      </c>
      <c r="U6" s="22" t="e">
        <f t="shared" si="1"/>
        <v>#DIV/0!</v>
      </c>
      <c r="V6" s="22" t="e">
        <f t="shared" si="1"/>
        <v>#DIV/0!</v>
      </c>
      <c r="W6" s="22" t="e">
        <f t="shared" si="1"/>
        <v>#DIV/0!</v>
      </c>
      <c r="X6" s="22" t="e">
        <f t="shared" si="1"/>
        <v>#DIV/0!</v>
      </c>
      <c r="Y6" s="22" t="e">
        <f t="shared" si="1"/>
        <v>#DIV/0!</v>
      </c>
      <c r="Z6" s="22" t="e">
        <f t="shared" si="1"/>
        <v>#DIV/0!</v>
      </c>
      <c r="AA6" s="22" t="e">
        <f t="shared" si="1"/>
        <v>#DIV/0!</v>
      </c>
      <c r="AB6" s="22" t="e">
        <f t="shared" si="1"/>
        <v>#DIV/0!</v>
      </c>
      <c r="AC6" s="5"/>
    </row>
    <row r="7" spans="1:111" ht="15" customHeight="1" x14ac:dyDescent="0.25">
      <c r="A7" s="8"/>
      <c r="B7" s="54" t="s">
        <v>24</v>
      </c>
      <c r="C7" s="10"/>
      <c r="D7" s="9"/>
      <c r="E7" s="22">
        <f>(25*30)*0.4</f>
        <v>300</v>
      </c>
      <c r="F7" s="22">
        <f>(25*30)*0.6</f>
        <v>450</v>
      </c>
      <c r="G7" s="22">
        <f>(25*30)*0.8</f>
        <v>600</v>
      </c>
      <c r="H7" s="22">
        <f>(25*30)*0.9</f>
        <v>675</v>
      </c>
      <c r="I7" s="22">
        <f ca="1">IF(OR(MONTH(I3)=11,MONTH(I3)=12,MONTH(I3)=1),17.5*30,25*30)</f>
        <v>525</v>
      </c>
      <c r="J7" s="22">
        <f ca="1">IF(OR(MONTH(J3)=11,MONTH(J3)=12,MONTH(J3)=1),25*30,25*30)</f>
        <v>750</v>
      </c>
      <c r="K7" s="22">
        <f ca="1">IF(OR(MONTH(K3)=11,MONTH(K3)=12,MONTH(K3)=1),30*30,25*30)</f>
        <v>900</v>
      </c>
      <c r="L7" s="22">
        <f ca="1">IF(OR(MONTH(L3)=11,MONTH(L3)=12,MONTH(L3)=1),30*30,25*30)</f>
        <v>750</v>
      </c>
      <c r="M7" s="22">
        <f ca="1">IF(OR(MONTH(M3)=11,MONTH(M3)=12,MONTH(M3)=1),34*30,30*30)</f>
        <v>900</v>
      </c>
      <c r="N7" s="22">
        <f ca="1">IF(OR(MONTH(N3)=11,MONTH(N3)=12,MONTH(N3)=1),25*30,28*30)</f>
        <v>840</v>
      </c>
      <c r="O7" s="22">
        <f ca="1">IF(OR(MONTH(O3)=11,MONTH(O3)=12,MONTH(O3)=1),28*30,27*30)</f>
        <v>810</v>
      </c>
      <c r="P7" s="22">
        <f ca="1">IF(OR(MONTH(P3)=11,MONTH(P3)=12,MONTH(P3)=1),30*30,30*30)</f>
        <v>900</v>
      </c>
      <c r="Q7" s="22">
        <f ca="1">IF(OR(MONTH(Q3)=11,MONTH(Q3)=12,MONTH(Q3)=1),35*30,35*30)</f>
        <v>1050</v>
      </c>
      <c r="R7" s="22">
        <f ca="1">IF(OR(MONTH(R3)=11,MONTH(R3)=12,MONTH(R3)=1),36*30,36*30)</f>
        <v>1080</v>
      </c>
      <c r="S7" s="22">
        <f ca="1">IF(OR(MONTH(S3)=11,MONTH(S3)=12,MONTH(S3)=1),40*30,40*30)</f>
        <v>1200</v>
      </c>
      <c r="T7" s="22">
        <f t="shared" ref="T7" ca="1" si="2">IF(OR(MONTH(T3)=11,MONTH(T3)=12,MONTH(T3)=1),35*30,35*30)</f>
        <v>1050</v>
      </c>
      <c r="U7" s="22">
        <f t="shared" ref="U7" ca="1" si="3">IF(OR(MONTH(U3)=11,MONTH(U3)=12,MONTH(U3)=1),36*30,36*30)</f>
        <v>1080</v>
      </c>
      <c r="V7" s="22">
        <f ca="1">IF(OR(MONTH(V3)=11,MONTH(V3)=12,MONTH(V3)=1),30*33,33*30)</f>
        <v>990</v>
      </c>
      <c r="W7" s="22">
        <f ca="1">IF(OR(MONTH(W3)=11,MONTH(W3)=12,MONTH(W3)=1),31*30,31*30)</f>
        <v>930</v>
      </c>
      <c r="X7" s="22">
        <f ca="1">IF(OR(MONTH(X3)=11,MONTH(X3)=12,MONTH(X3)=1),30*30,30*30)</f>
        <v>900</v>
      </c>
      <c r="Y7" s="22">
        <f ca="1">IF(OR(MONTH(Y3)=11,MONTH(Y3)=12,MONTH(Y3)=1),34*30,34*30)</f>
        <v>1020</v>
      </c>
      <c r="Z7" s="22">
        <f t="shared" ref="Z7" ca="1" si="4">IF(OR(MONTH(Z3)=11,MONTH(Z3)=12,MONTH(Z3)=1),35*30,35*30)</f>
        <v>1050</v>
      </c>
      <c r="AA7" s="22">
        <f t="shared" ref="AA7" ca="1" si="5">IF(OR(MONTH(AA3)=11,MONTH(AA3)=12,MONTH(AA3)=1),36*30,36*30)</f>
        <v>1080</v>
      </c>
      <c r="AB7" s="22">
        <f ca="1">IF(OR(MONTH(AB3)=11,MONTH(AB3)=12,MONTH(AB3)=1),36*30,36*30)</f>
        <v>1080</v>
      </c>
      <c r="AC7" s="5"/>
    </row>
    <row r="8" spans="1:111" ht="15" hidden="1" customHeight="1" outlineLevel="1" x14ac:dyDescent="0.25">
      <c r="A8" s="8"/>
      <c r="B8" s="54"/>
      <c r="C8" s="75" t="s">
        <v>54</v>
      </c>
      <c r="D8" s="9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5"/>
    </row>
    <row r="9" spans="1:111" ht="15" hidden="1" customHeight="1" outlineLevel="1" x14ac:dyDescent="0.25">
      <c r="A9" s="8"/>
      <c r="B9" s="54"/>
      <c r="C9" s="75" t="s">
        <v>55</v>
      </c>
      <c r="D9" s="9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5"/>
    </row>
    <row r="10" spans="1:111" ht="15" hidden="1" customHeight="1" outlineLevel="1" x14ac:dyDescent="0.25">
      <c r="A10" s="8"/>
      <c r="B10" s="54"/>
      <c r="C10" s="75" t="s">
        <v>56</v>
      </c>
      <c r="D10" s="9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5"/>
    </row>
    <row r="11" spans="1:111" ht="15" hidden="1" customHeight="1" outlineLevel="1" x14ac:dyDescent="0.25">
      <c r="A11" s="8"/>
      <c r="B11" s="54"/>
      <c r="C11" s="75" t="s">
        <v>57</v>
      </c>
      <c r="D11" s="9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5"/>
    </row>
    <row r="12" spans="1:111" ht="15" customHeight="1" collapsed="1" x14ac:dyDescent="0.25">
      <c r="A12" s="8"/>
      <c r="B12" s="75" t="s">
        <v>62</v>
      </c>
      <c r="C12" s="10"/>
      <c r="D12" s="9"/>
      <c r="E12" s="14">
        <f>E7*СреднийЧек</f>
        <v>210000</v>
      </c>
      <c r="F12" s="14">
        <f t="shared" ref="F12:AB12" si="6">F7*СреднийЧек</f>
        <v>315000</v>
      </c>
      <c r="G12" s="14">
        <f t="shared" si="6"/>
        <v>420000</v>
      </c>
      <c r="H12" s="14">
        <f>H7*СреднийЧек</f>
        <v>472500</v>
      </c>
      <c r="I12" s="14">
        <f ca="1">I7*700</f>
        <v>367500</v>
      </c>
      <c r="J12" s="14">
        <f t="shared" ca="1" si="6"/>
        <v>525000</v>
      </c>
      <c r="K12" s="14">
        <f t="shared" ca="1" si="6"/>
        <v>630000</v>
      </c>
      <c r="L12" s="14">
        <f t="shared" ca="1" si="6"/>
        <v>525000</v>
      </c>
      <c r="M12" s="14">
        <f t="shared" ca="1" si="6"/>
        <v>630000</v>
      </c>
      <c r="N12" s="14">
        <f t="shared" ca="1" si="6"/>
        <v>588000</v>
      </c>
      <c r="O12" s="14">
        <f t="shared" ca="1" si="6"/>
        <v>567000</v>
      </c>
      <c r="P12" s="14">
        <f t="shared" ca="1" si="6"/>
        <v>630000</v>
      </c>
      <c r="Q12" s="14">
        <f t="shared" ca="1" si="6"/>
        <v>735000</v>
      </c>
      <c r="R12" s="14">
        <f t="shared" ca="1" si="6"/>
        <v>756000</v>
      </c>
      <c r="S12" s="14">
        <f t="shared" ca="1" si="6"/>
        <v>840000</v>
      </c>
      <c r="T12" s="14">
        <f t="shared" ca="1" si="6"/>
        <v>735000</v>
      </c>
      <c r="U12" s="14">
        <f t="shared" ca="1" si="6"/>
        <v>756000</v>
      </c>
      <c r="V12" s="14">
        <f t="shared" ca="1" si="6"/>
        <v>693000</v>
      </c>
      <c r="W12" s="14">
        <f t="shared" ca="1" si="6"/>
        <v>651000</v>
      </c>
      <c r="X12" s="14">
        <f t="shared" ca="1" si="6"/>
        <v>630000</v>
      </c>
      <c r="Y12" s="14">
        <f t="shared" ca="1" si="6"/>
        <v>714000</v>
      </c>
      <c r="Z12" s="14">
        <f t="shared" ca="1" si="6"/>
        <v>735000</v>
      </c>
      <c r="AA12" s="14">
        <f t="shared" ca="1" si="6"/>
        <v>756000</v>
      </c>
      <c r="AB12" s="14">
        <f t="shared" ca="1" si="6"/>
        <v>756000</v>
      </c>
      <c r="AC12" s="5"/>
    </row>
    <row r="13" spans="1:111" ht="15" customHeight="1" x14ac:dyDescent="0.25">
      <c r="A13" s="8"/>
      <c r="B13" s="86" t="s">
        <v>63</v>
      </c>
      <c r="C13" s="10"/>
      <c r="D13" s="9"/>
      <c r="E13" s="14">
        <f>E7*10%</f>
        <v>30</v>
      </c>
      <c r="F13" s="14">
        <f t="shared" ref="F13:AB13" si="7">F7*10%</f>
        <v>45</v>
      </c>
      <c r="G13" s="14">
        <f t="shared" si="7"/>
        <v>60</v>
      </c>
      <c r="H13" s="22">
        <f t="shared" si="7"/>
        <v>67.5</v>
      </c>
      <c r="I13" s="22">
        <f t="shared" ca="1" si="7"/>
        <v>52.5</v>
      </c>
      <c r="J13" s="14">
        <f t="shared" ca="1" si="7"/>
        <v>75</v>
      </c>
      <c r="K13" s="14">
        <f t="shared" ca="1" si="7"/>
        <v>90</v>
      </c>
      <c r="L13" s="14">
        <f t="shared" ca="1" si="7"/>
        <v>75</v>
      </c>
      <c r="M13" s="14">
        <f t="shared" ca="1" si="7"/>
        <v>90</v>
      </c>
      <c r="N13" s="14">
        <f t="shared" ca="1" si="7"/>
        <v>84</v>
      </c>
      <c r="O13" s="14">
        <f t="shared" ca="1" si="7"/>
        <v>81</v>
      </c>
      <c r="P13" s="14">
        <f t="shared" ca="1" si="7"/>
        <v>90</v>
      </c>
      <c r="Q13" s="14">
        <f t="shared" ca="1" si="7"/>
        <v>105</v>
      </c>
      <c r="R13" s="14">
        <f t="shared" ca="1" si="7"/>
        <v>108</v>
      </c>
      <c r="S13" s="14">
        <f t="shared" ca="1" si="7"/>
        <v>120</v>
      </c>
      <c r="T13" s="14">
        <f t="shared" ca="1" si="7"/>
        <v>105</v>
      </c>
      <c r="U13" s="14">
        <f t="shared" ca="1" si="7"/>
        <v>108</v>
      </c>
      <c r="V13" s="14">
        <f t="shared" ca="1" si="7"/>
        <v>99</v>
      </c>
      <c r="W13" s="14">
        <f t="shared" ca="1" si="7"/>
        <v>93</v>
      </c>
      <c r="X13" s="14">
        <f t="shared" ca="1" si="7"/>
        <v>90</v>
      </c>
      <c r="Y13" s="14">
        <f t="shared" ca="1" si="7"/>
        <v>102</v>
      </c>
      <c r="Z13" s="14">
        <f t="shared" ca="1" si="7"/>
        <v>105</v>
      </c>
      <c r="AA13" s="14">
        <f t="shared" ca="1" si="7"/>
        <v>108</v>
      </c>
      <c r="AB13" s="14">
        <f t="shared" ca="1" si="7"/>
        <v>108</v>
      </c>
      <c r="AC13" s="5"/>
    </row>
    <row r="14" spans="1:111" ht="15" customHeight="1" x14ac:dyDescent="0.25">
      <c r="A14" s="144" t="s">
        <v>5</v>
      </c>
      <c r="B14" s="144"/>
      <c r="C14" s="144"/>
      <c r="D14" s="30">
        <f>SUM(D6:D12)</f>
        <v>0</v>
      </c>
      <c r="E14" s="31">
        <f>E12+E13</f>
        <v>210030</v>
      </c>
      <c r="F14" s="31">
        <f t="shared" ref="F14:AB14" si="8">F12+F13</f>
        <v>315045</v>
      </c>
      <c r="G14" s="31">
        <f t="shared" si="8"/>
        <v>420060</v>
      </c>
      <c r="H14" s="31">
        <f t="shared" si="8"/>
        <v>472567.5</v>
      </c>
      <c r="I14" s="31">
        <f t="shared" ca="1" si="8"/>
        <v>367552.5</v>
      </c>
      <c r="J14" s="31">
        <f t="shared" ca="1" si="8"/>
        <v>525075</v>
      </c>
      <c r="K14" s="31">
        <f ca="1">K12+K13</f>
        <v>630090</v>
      </c>
      <c r="L14" s="31">
        <f t="shared" ca="1" si="8"/>
        <v>525075</v>
      </c>
      <c r="M14" s="31">
        <f t="shared" ca="1" si="8"/>
        <v>630090</v>
      </c>
      <c r="N14" s="31">
        <f t="shared" ca="1" si="8"/>
        <v>588084</v>
      </c>
      <c r="O14" s="31">
        <f t="shared" ca="1" si="8"/>
        <v>567081</v>
      </c>
      <c r="P14" s="31">
        <f t="shared" ca="1" si="8"/>
        <v>630090</v>
      </c>
      <c r="Q14" s="31">
        <f t="shared" ca="1" si="8"/>
        <v>735105</v>
      </c>
      <c r="R14" s="31">
        <f t="shared" ca="1" si="8"/>
        <v>756108</v>
      </c>
      <c r="S14" s="31">
        <f t="shared" ca="1" si="8"/>
        <v>840120</v>
      </c>
      <c r="T14" s="31">
        <f t="shared" ca="1" si="8"/>
        <v>735105</v>
      </c>
      <c r="U14" s="31">
        <f t="shared" ca="1" si="8"/>
        <v>756108</v>
      </c>
      <c r="V14" s="31">
        <f t="shared" ca="1" si="8"/>
        <v>693099</v>
      </c>
      <c r="W14" s="31">
        <f t="shared" ca="1" si="8"/>
        <v>651093</v>
      </c>
      <c r="X14" s="31">
        <f t="shared" ca="1" si="8"/>
        <v>630090</v>
      </c>
      <c r="Y14" s="31">
        <f t="shared" ca="1" si="8"/>
        <v>714102</v>
      </c>
      <c r="Z14" s="31">
        <f t="shared" ca="1" si="8"/>
        <v>735105</v>
      </c>
      <c r="AA14" s="31">
        <f t="shared" ca="1" si="8"/>
        <v>756108</v>
      </c>
      <c r="AB14" s="31">
        <f t="shared" ca="1" si="8"/>
        <v>756108</v>
      </c>
      <c r="AC14" s="5"/>
    </row>
    <row r="15" spans="1:111" ht="8.25" customHeight="1" x14ac:dyDescent="0.25">
      <c r="A15" s="11"/>
      <c r="B15" s="11"/>
      <c r="C15" s="12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5"/>
    </row>
    <row r="16" spans="1:111" ht="15" customHeight="1" x14ac:dyDescent="0.25">
      <c r="A16" s="128" t="s">
        <v>4</v>
      </c>
      <c r="B16" s="129"/>
      <c r="C16" s="130"/>
      <c r="D16" s="131" t="s">
        <v>11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 t="s">
        <v>12</v>
      </c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5"/>
    </row>
    <row r="17" spans="1:111" ht="15" customHeight="1" x14ac:dyDescent="0.25">
      <c r="A17" s="8"/>
      <c r="B17" s="75" t="s">
        <v>60</v>
      </c>
      <c r="C17" s="10"/>
      <c r="D17" s="9">
        <v>0</v>
      </c>
      <c r="E17" s="14">
        <f t="shared" ref="E17:J17" si="9">80000*отклонение1</f>
        <v>93333.333333333343</v>
      </c>
      <c r="F17" s="14">
        <f t="shared" si="9"/>
        <v>93333.333333333343</v>
      </c>
      <c r="G17" s="14">
        <f t="shared" si="9"/>
        <v>93333.333333333343</v>
      </c>
      <c r="H17" s="14">
        <f t="shared" si="9"/>
        <v>93333.333333333343</v>
      </c>
      <c r="I17" s="14">
        <f t="shared" si="9"/>
        <v>93333.333333333343</v>
      </c>
      <c r="J17" s="14">
        <f t="shared" si="9"/>
        <v>93333.333333333343</v>
      </c>
      <c r="K17" s="14">
        <f t="shared" ref="K17:AB17" si="10">110000*отклонение1</f>
        <v>128333.33333333334</v>
      </c>
      <c r="L17" s="14">
        <f t="shared" si="10"/>
        <v>128333.33333333334</v>
      </c>
      <c r="M17" s="14">
        <f t="shared" si="10"/>
        <v>128333.33333333334</v>
      </c>
      <c r="N17" s="14">
        <f t="shared" si="10"/>
        <v>128333.33333333334</v>
      </c>
      <c r="O17" s="14">
        <f t="shared" si="10"/>
        <v>128333.33333333334</v>
      </c>
      <c r="P17" s="14">
        <f t="shared" si="10"/>
        <v>128333.33333333334</v>
      </c>
      <c r="Q17" s="14">
        <f t="shared" si="10"/>
        <v>128333.33333333334</v>
      </c>
      <c r="R17" s="14">
        <f t="shared" si="10"/>
        <v>128333.33333333334</v>
      </c>
      <c r="S17" s="14">
        <f t="shared" si="10"/>
        <v>128333.33333333334</v>
      </c>
      <c r="T17" s="14">
        <f t="shared" si="10"/>
        <v>128333.33333333334</v>
      </c>
      <c r="U17" s="14">
        <f t="shared" si="10"/>
        <v>128333.33333333334</v>
      </c>
      <c r="V17" s="14">
        <f t="shared" si="10"/>
        <v>128333.33333333334</v>
      </c>
      <c r="W17" s="14">
        <f t="shared" si="10"/>
        <v>128333.33333333334</v>
      </c>
      <c r="X17" s="14">
        <f t="shared" si="10"/>
        <v>128333.33333333334</v>
      </c>
      <c r="Y17" s="14">
        <f t="shared" si="10"/>
        <v>128333.33333333334</v>
      </c>
      <c r="Z17" s="14">
        <f t="shared" si="10"/>
        <v>128333.33333333334</v>
      </c>
      <c r="AA17" s="14">
        <f t="shared" si="10"/>
        <v>128333.33333333334</v>
      </c>
      <c r="AB17" s="14">
        <f t="shared" si="10"/>
        <v>128333.33333333334</v>
      </c>
      <c r="AC17" s="5"/>
    </row>
    <row r="18" spans="1:111" ht="15" customHeight="1" x14ac:dyDescent="0.25">
      <c r="A18" s="8"/>
      <c r="B18" s="75" t="s">
        <v>52</v>
      </c>
      <c r="C18" s="10"/>
      <c r="D18" s="9"/>
      <c r="E18" s="9">
        <f>площадь*'Исходные данные'!$D$18</f>
        <v>30000</v>
      </c>
      <c r="F18" s="9">
        <f>площадь*'Исходные данные'!$D$18</f>
        <v>30000</v>
      </c>
      <c r="G18" s="9">
        <f>площадь*'Исходные данные'!$D$18</f>
        <v>30000</v>
      </c>
      <c r="H18" s="9">
        <f>площадь*'Исходные данные'!$D$18</f>
        <v>30000</v>
      </c>
      <c r="I18" s="9">
        <f>площадь*'Исходные данные'!$D$18</f>
        <v>30000</v>
      </c>
      <c r="J18" s="9">
        <f>площадь*'Исходные данные'!$D$18</f>
        <v>30000</v>
      </c>
      <c r="K18" s="9">
        <f>площадь*'Исходные данные'!$D$18</f>
        <v>30000</v>
      </c>
      <c r="L18" s="9">
        <f>площадь*'Исходные данные'!$D$18</f>
        <v>30000</v>
      </c>
      <c r="M18" s="9">
        <f>площадь*'Исходные данные'!$D$18</f>
        <v>30000</v>
      </c>
      <c r="N18" s="9">
        <f>площадь*'Исходные данные'!$D$18</f>
        <v>30000</v>
      </c>
      <c r="O18" s="9">
        <f>площадь*'Исходные данные'!$D$18</f>
        <v>30000</v>
      </c>
      <c r="P18" s="9">
        <f>площадь*'Исходные данные'!$D$18</f>
        <v>30000</v>
      </c>
      <c r="Q18" s="9">
        <f>площадь*'Исходные данные'!$D$18</f>
        <v>30000</v>
      </c>
      <c r="R18" s="9">
        <f>площадь*'Исходные данные'!$D$18</f>
        <v>30000</v>
      </c>
      <c r="S18" s="9">
        <f>площадь*'Исходные данные'!$D$18</f>
        <v>30000</v>
      </c>
      <c r="T18" s="9">
        <f>площадь*'Исходные данные'!$D$18</f>
        <v>30000</v>
      </c>
      <c r="U18" s="9">
        <f>площадь*'Исходные данные'!$D$18</f>
        <v>30000</v>
      </c>
      <c r="V18" s="9">
        <f>площадь*'Исходные данные'!$D$18</f>
        <v>30000</v>
      </c>
      <c r="W18" s="9">
        <f>площадь*'Исходные данные'!$D$18</f>
        <v>30000</v>
      </c>
      <c r="X18" s="9">
        <f>площадь*'Исходные данные'!$D$18</f>
        <v>30000</v>
      </c>
      <c r="Y18" s="9">
        <f>площадь*'Исходные данные'!$D$18</f>
        <v>30000</v>
      </c>
      <c r="Z18" s="9">
        <f>площадь*'Исходные данные'!$D$18</f>
        <v>30000</v>
      </c>
      <c r="AA18" s="9">
        <f>площадь*'Исходные данные'!$D$18</f>
        <v>30000</v>
      </c>
      <c r="AB18" s="9">
        <f>площадь*'Исходные данные'!$D$18</f>
        <v>30000</v>
      </c>
      <c r="AC18" s="5"/>
    </row>
    <row r="19" spans="1:111" ht="15" customHeight="1" x14ac:dyDescent="0.25">
      <c r="A19" s="8"/>
      <c r="B19" s="75" t="s">
        <v>39</v>
      </c>
      <c r="C19" s="10"/>
      <c r="D19" s="9"/>
      <c r="E19" s="9">
        <f>E14*3%</f>
        <v>6300.9</v>
      </c>
      <c r="F19" s="9">
        <f t="shared" ref="F19:AB19" si="11">F14*3%</f>
        <v>9451.35</v>
      </c>
      <c r="G19" s="9">
        <f t="shared" si="11"/>
        <v>12601.8</v>
      </c>
      <c r="H19" s="9">
        <f t="shared" si="11"/>
        <v>14177.025</v>
      </c>
      <c r="I19" s="9">
        <f t="shared" ca="1" si="11"/>
        <v>11026.574999999999</v>
      </c>
      <c r="J19" s="9">
        <f t="shared" ca="1" si="11"/>
        <v>15752.25</v>
      </c>
      <c r="K19" s="9">
        <f t="shared" ca="1" si="11"/>
        <v>18902.7</v>
      </c>
      <c r="L19" s="9">
        <f t="shared" ca="1" si="11"/>
        <v>15752.25</v>
      </c>
      <c r="M19" s="9">
        <f t="shared" ca="1" si="11"/>
        <v>18902.7</v>
      </c>
      <c r="N19" s="9">
        <f t="shared" ca="1" si="11"/>
        <v>17642.52</v>
      </c>
      <c r="O19" s="9">
        <f t="shared" ca="1" si="11"/>
        <v>17012.43</v>
      </c>
      <c r="P19" s="9">
        <f t="shared" ca="1" si="11"/>
        <v>18902.7</v>
      </c>
      <c r="Q19" s="9">
        <f t="shared" ca="1" si="11"/>
        <v>22053.149999999998</v>
      </c>
      <c r="R19" s="9">
        <f t="shared" ca="1" si="11"/>
        <v>22683.239999999998</v>
      </c>
      <c r="S19" s="9">
        <f t="shared" ca="1" si="11"/>
        <v>25203.599999999999</v>
      </c>
      <c r="T19" s="9">
        <f t="shared" ca="1" si="11"/>
        <v>22053.149999999998</v>
      </c>
      <c r="U19" s="9">
        <f t="shared" ca="1" si="11"/>
        <v>22683.239999999998</v>
      </c>
      <c r="V19" s="9">
        <f t="shared" ca="1" si="11"/>
        <v>20792.969999999998</v>
      </c>
      <c r="W19" s="9">
        <f t="shared" ca="1" si="11"/>
        <v>19532.79</v>
      </c>
      <c r="X19" s="9">
        <f t="shared" ca="1" si="11"/>
        <v>18902.7</v>
      </c>
      <c r="Y19" s="9">
        <f t="shared" ca="1" si="11"/>
        <v>21423.059999999998</v>
      </c>
      <c r="Z19" s="9">
        <f t="shared" ca="1" si="11"/>
        <v>22053.149999999998</v>
      </c>
      <c r="AA19" s="9">
        <f t="shared" ca="1" si="11"/>
        <v>22683.239999999998</v>
      </c>
      <c r="AB19" s="9">
        <f t="shared" ca="1" si="11"/>
        <v>22683.239999999998</v>
      </c>
      <c r="AC19" s="5"/>
    </row>
    <row r="20" spans="1:111" ht="15" customHeight="1" x14ac:dyDescent="0.25">
      <c r="A20" s="8"/>
      <c r="B20" s="75" t="s">
        <v>61</v>
      </c>
      <c r="C20" s="10"/>
      <c r="D20" s="9"/>
      <c r="E20" s="9">
        <f>E14*0.08</f>
        <v>16802.400000000001</v>
      </c>
      <c r="F20" s="9">
        <f t="shared" ref="F20:AB20" si="12">F14*0.08</f>
        <v>25203.600000000002</v>
      </c>
      <c r="G20" s="9">
        <f t="shared" si="12"/>
        <v>33604.800000000003</v>
      </c>
      <c r="H20" s="9">
        <f t="shared" si="12"/>
        <v>37805.4</v>
      </c>
      <c r="I20" s="9">
        <f t="shared" ca="1" si="12"/>
        <v>29404.2</v>
      </c>
      <c r="J20" s="9">
        <f t="shared" ca="1" si="12"/>
        <v>42006</v>
      </c>
      <c r="K20" s="9">
        <f t="shared" ca="1" si="12"/>
        <v>50407.200000000004</v>
      </c>
      <c r="L20" s="9">
        <f t="shared" ca="1" si="12"/>
        <v>42006</v>
      </c>
      <c r="M20" s="9">
        <f t="shared" ca="1" si="12"/>
        <v>50407.200000000004</v>
      </c>
      <c r="N20" s="9">
        <f t="shared" ca="1" si="12"/>
        <v>47046.720000000001</v>
      </c>
      <c r="O20" s="9">
        <f t="shared" ca="1" si="12"/>
        <v>45366.48</v>
      </c>
      <c r="P20" s="9">
        <f t="shared" ca="1" si="12"/>
        <v>50407.200000000004</v>
      </c>
      <c r="Q20" s="9">
        <f t="shared" ca="1" si="12"/>
        <v>58808.4</v>
      </c>
      <c r="R20" s="9">
        <f t="shared" ca="1" si="12"/>
        <v>60488.639999999999</v>
      </c>
      <c r="S20" s="9">
        <f t="shared" ca="1" si="12"/>
        <v>67209.600000000006</v>
      </c>
      <c r="T20" s="9">
        <f t="shared" ca="1" si="12"/>
        <v>58808.4</v>
      </c>
      <c r="U20" s="9">
        <f t="shared" ca="1" si="12"/>
        <v>60488.639999999999</v>
      </c>
      <c r="V20" s="9">
        <f t="shared" ca="1" si="12"/>
        <v>55447.92</v>
      </c>
      <c r="W20" s="9">
        <f t="shared" ca="1" si="12"/>
        <v>52087.44</v>
      </c>
      <c r="X20" s="9">
        <f t="shared" ca="1" si="12"/>
        <v>50407.200000000004</v>
      </c>
      <c r="Y20" s="9">
        <f t="shared" ca="1" si="12"/>
        <v>57128.160000000003</v>
      </c>
      <c r="Z20" s="9">
        <f t="shared" ca="1" si="12"/>
        <v>58808.4</v>
      </c>
      <c r="AA20" s="9">
        <f t="shared" ca="1" si="12"/>
        <v>60488.639999999999</v>
      </c>
      <c r="AB20" s="9">
        <f t="shared" ca="1" si="12"/>
        <v>60488.639999999999</v>
      </c>
      <c r="AC20" s="5"/>
    </row>
    <row r="21" spans="1:111" ht="15" customHeight="1" x14ac:dyDescent="0.25">
      <c r="A21" s="8"/>
      <c r="B21" s="85" t="s">
        <v>89</v>
      </c>
      <c r="C21" s="10"/>
      <c r="D21" s="9"/>
      <c r="E21" s="9">
        <f>E14*0.3</f>
        <v>63009</v>
      </c>
      <c r="F21" s="9">
        <f t="shared" ref="F21:AB21" si="13">F14*0.3</f>
        <v>94513.5</v>
      </c>
      <c r="G21" s="9">
        <f t="shared" si="13"/>
        <v>126018</v>
      </c>
      <c r="H21" s="9">
        <f t="shared" si="13"/>
        <v>141770.25</v>
      </c>
      <c r="I21" s="9">
        <f t="shared" ca="1" si="13"/>
        <v>110265.75</v>
      </c>
      <c r="J21" s="9">
        <f t="shared" ca="1" si="13"/>
        <v>157522.5</v>
      </c>
      <c r="K21" s="9">
        <f t="shared" ca="1" si="13"/>
        <v>189027</v>
      </c>
      <c r="L21" s="9">
        <f t="shared" ca="1" si="13"/>
        <v>157522.5</v>
      </c>
      <c r="M21" s="9">
        <f t="shared" ca="1" si="13"/>
        <v>189027</v>
      </c>
      <c r="N21" s="9">
        <f t="shared" ca="1" si="13"/>
        <v>176425.19999999998</v>
      </c>
      <c r="O21" s="9">
        <f t="shared" ca="1" si="13"/>
        <v>170124.3</v>
      </c>
      <c r="P21" s="9">
        <f ca="1">P14*0.3</f>
        <v>189027</v>
      </c>
      <c r="Q21" s="9">
        <f t="shared" ca="1" si="13"/>
        <v>220531.5</v>
      </c>
      <c r="R21" s="9">
        <f t="shared" ca="1" si="13"/>
        <v>226832.4</v>
      </c>
      <c r="S21" s="9">
        <f t="shared" ca="1" si="13"/>
        <v>252036</v>
      </c>
      <c r="T21" s="9">
        <f t="shared" ca="1" si="13"/>
        <v>220531.5</v>
      </c>
      <c r="U21" s="9">
        <f t="shared" ca="1" si="13"/>
        <v>226832.4</v>
      </c>
      <c r="V21" s="9">
        <f t="shared" ca="1" si="13"/>
        <v>207929.69999999998</v>
      </c>
      <c r="W21" s="9">
        <f t="shared" ca="1" si="13"/>
        <v>195327.9</v>
      </c>
      <c r="X21" s="9">
        <f t="shared" ca="1" si="13"/>
        <v>189027</v>
      </c>
      <c r="Y21" s="9">
        <f t="shared" ca="1" si="13"/>
        <v>214230.6</v>
      </c>
      <c r="Z21" s="9">
        <f t="shared" ca="1" si="13"/>
        <v>220531.5</v>
      </c>
      <c r="AA21" s="9">
        <f t="shared" ca="1" si="13"/>
        <v>226832.4</v>
      </c>
      <c r="AB21" s="9">
        <f t="shared" ca="1" si="13"/>
        <v>226832.4</v>
      </c>
      <c r="AC21" s="5"/>
    </row>
    <row r="22" spans="1:111" ht="15" customHeight="1" x14ac:dyDescent="0.25">
      <c r="A22" s="8"/>
      <c r="B22" s="75" t="s">
        <v>58</v>
      </c>
      <c r="C22" s="10"/>
      <c r="D22" s="9"/>
      <c r="E22" s="9">
        <v>0</v>
      </c>
      <c r="F22" s="9">
        <v>40000</v>
      </c>
      <c r="G22" s="9">
        <v>30000</v>
      </c>
      <c r="H22" s="9">
        <v>15000</v>
      </c>
      <c r="I22" s="9">
        <v>15000</v>
      </c>
      <c r="J22" s="9">
        <v>15000</v>
      </c>
      <c r="K22" s="9">
        <v>15000</v>
      </c>
      <c r="L22" s="9">
        <v>15000</v>
      </c>
      <c r="M22" s="9">
        <v>15000</v>
      </c>
      <c r="N22" s="9">
        <v>15000</v>
      </c>
      <c r="O22" s="9">
        <v>15000</v>
      </c>
      <c r="P22" s="9">
        <v>15000</v>
      </c>
      <c r="Q22" s="9">
        <v>15000</v>
      </c>
      <c r="R22" s="9">
        <v>15000</v>
      </c>
      <c r="S22" s="9">
        <v>15000</v>
      </c>
      <c r="T22" s="9">
        <v>15000</v>
      </c>
      <c r="U22" s="9">
        <v>15000</v>
      </c>
      <c r="V22" s="9">
        <v>15000</v>
      </c>
      <c r="W22" s="9">
        <v>15000</v>
      </c>
      <c r="X22" s="9">
        <v>15000</v>
      </c>
      <c r="Y22" s="9">
        <v>15000</v>
      </c>
      <c r="Z22" s="9">
        <v>15000</v>
      </c>
      <c r="AA22" s="9">
        <v>15000</v>
      </c>
      <c r="AB22" s="9">
        <v>15000</v>
      </c>
      <c r="AC22" s="5"/>
    </row>
    <row r="23" spans="1:111" ht="15" customHeight="1" x14ac:dyDescent="0.25">
      <c r="A23" s="8"/>
      <c r="B23" s="85" t="s">
        <v>90</v>
      </c>
      <c r="C23" s="10"/>
      <c r="D23" s="9"/>
      <c r="E23" s="9">
        <v>12000</v>
      </c>
      <c r="F23" s="9">
        <v>12000</v>
      </c>
      <c r="G23" s="9">
        <v>12000</v>
      </c>
      <c r="H23" s="9">
        <v>12000</v>
      </c>
      <c r="I23" s="9">
        <v>12000</v>
      </c>
      <c r="J23" s="9">
        <v>12000</v>
      </c>
      <c r="K23" s="9">
        <v>12000</v>
      </c>
      <c r="L23" s="9">
        <v>12000</v>
      </c>
      <c r="M23" s="9">
        <v>12000</v>
      </c>
      <c r="N23" s="9">
        <v>12000</v>
      </c>
      <c r="O23" s="9">
        <v>12000</v>
      </c>
      <c r="P23" s="9">
        <v>12000</v>
      </c>
      <c r="Q23" s="9">
        <v>12000</v>
      </c>
      <c r="R23" s="9">
        <v>12000</v>
      </c>
      <c r="S23" s="9">
        <v>12000</v>
      </c>
      <c r="T23" s="9">
        <v>12000</v>
      </c>
      <c r="U23" s="9">
        <v>12000</v>
      </c>
      <c r="V23" s="9">
        <v>12000</v>
      </c>
      <c r="W23" s="9">
        <v>12000</v>
      </c>
      <c r="X23" s="9">
        <v>12000</v>
      </c>
      <c r="Y23" s="9">
        <v>12000</v>
      </c>
      <c r="Z23" s="9">
        <v>12000</v>
      </c>
      <c r="AA23" s="9">
        <v>12000</v>
      </c>
      <c r="AB23" s="9">
        <v>12000</v>
      </c>
      <c r="AC23" s="5"/>
    </row>
    <row r="24" spans="1:111" ht="15" customHeight="1" x14ac:dyDescent="0.25">
      <c r="A24" s="8"/>
      <c r="B24" s="55" t="s">
        <v>25</v>
      </c>
      <c r="C24" s="8"/>
      <c r="D24" s="9">
        <v>0</v>
      </c>
      <c r="E24" s="9">
        <v>2000</v>
      </c>
      <c r="F24" s="9">
        <v>2000</v>
      </c>
      <c r="G24" s="9">
        <v>2000</v>
      </c>
      <c r="H24" s="9">
        <v>2000</v>
      </c>
      <c r="I24" s="9">
        <v>2000</v>
      </c>
      <c r="J24" s="9">
        <v>2000</v>
      </c>
      <c r="K24" s="9">
        <v>2000</v>
      </c>
      <c r="L24" s="9">
        <v>2000</v>
      </c>
      <c r="M24" s="9">
        <v>2000</v>
      </c>
      <c r="N24" s="9">
        <v>2000</v>
      </c>
      <c r="O24" s="9">
        <v>2000</v>
      </c>
      <c r="P24" s="9">
        <v>2000</v>
      </c>
      <c r="Q24" s="9">
        <v>2000</v>
      </c>
      <c r="R24" s="9">
        <v>2000</v>
      </c>
      <c r="S24" s="9">
        <v>2000</v>
      </c>
      <c r="T24" s="9">
        <v>2000</v>
      </c>
      <c r="U24" s="9">
        <v>2000</v>
      </c>
      <c r="V24" s="9">
        <v>2000</v>
      </c>
      <c r="W24" s="9">
        <v>2000</v>
      </c>
      <c r="X24" s="9">
        <v>2000</v>
      </c>
      <c r="Y24" s="9">
        <v>2000</v>
      </c>
      <c r="Z24" s="9">
        <v>2000</v>
      </c>
      <c r="AA24" s="9">
        <v>2000</v>
      </c>
      <c r="AB24" s="9">
        <v>2000</v>
      </c>
      <c r="AC24" s="5"/>
    </row>
    <row r="25" spans="1:111" ht="15" customHeight="1" x14ac:dyDescent="0.25">
      <c r="A25" s="132" t="s">
        <v>6</v>
      </c>
      <c r="B25" s="133"/>
      <c r="C25" s="134"/>
      <c r="D25" s="21">
        <v>0</v>
      </c>
      <c r="E25" s="21">
        <f t="shared" ref="E25:AB25" si="14">SUM(E17:E24)</f>
        <v>223445.63333333333</v>
      </c>
      <c r="F25" s="21">
        <f t="shared" si="14"/>
        <v>306501.78333333333</v>
      </c>
      <c r="G25" s="21">
        <f t="shared" si="14"/>
        <v>339557.93333333335</v>
      </c>
      <c r="H25" s="21">
        <f t="shared" si="14"/>
        <v>346086.0083333333</v>
      </c>
      <c r="I25" s="21">
        <f t="shared" ca="1" si="14"/>
        <v>303029.8583333334</v>
      </c>
      <c r="J25" s="21">
        <f t="shared" ca="1" si="14"/>
        <v>367614.08333333337</v>
      </c>
      <c r="K25" s="21">
        <f t="shared" ca="1" si="14"/>
        <v>445670.2333333334</v>
      </c>
      <c r="L25" s="21">
        <f t="shared" ca="1" si="14"/>
        <v>402614.08333333337</v>
      </c>
      <c r="M25" s="21">
        <f t="shared" ca="1" si="14"/>
        <v>445670.2333333334</v>
      </c>
      <c r="N25" s="21">
        <f t="shared" ca="1" si="14"/>
        <v>428447.77333333332</v>
      </c>
      <c r="O25" s="21">
        <f t="shared" ca="1" si="14"/>
        <v>419836.54333333333</v>
      </c>
      <c r="P25" s="21">
        <f t="shared" ca="1" si="14"/>
        <v>445670.2333333334</v>
      </c>
      <c r="Q25" s="21">
        <f t="shared" ca="1" si="14"/>
        <v>488726.3833333333</v>
      </c>
      <c r="R25" s="21">
        <f t="shared" ca="1" si="14"/>
        <v>497337.61333333328</v>
      </c>
      <c r="S25" s="21">
        <f t="shared" ca="1" si="14"/>
        <v>531782.53333333333</v>
      </c>
      <c r="T25" s="21">
        <f t="shared" ca="1" si="14"/>
        <v>488726.3833333333</v>
      </c>
      <c r="U25" s="21">
        <f t="shared" ca="1" si="14"/>
        <v>497337.61333333328</v>
      </c>
      <c r="V25" s="21">
        <f t="shared" ca="1" si="14"/>
        <v>471503.92333333334</v>
      </c>
      <c r="W25" s="21">
        <f t="shared" ca="1" si="14"/>
        <v>454281.46333333338</v>
      </c>
      <c r="X25" s="21">
        <f t="shared" ca="1" si="14"/>
        <v>445670.2333333334</v>
      </c>
      <c r="Y25" s="21">
        <f t="shared" ca="1" si="14"/>
        <v>480115.15333333332</v>
      </c>
      <c r="Z25" s="21">
        <f t="shared" ca="1" si="14"/>
        <v>488726.3833333333</v>
      </c>
      <c r="AA25" s="21">
        <f t="shared" ca="1" si="14"/>
        <v>497337.61333333328</v>
      </c>
      <c r="AB25" s="21">
        <f t="shared" ca="1" si="14"/>
        <v>497337.61333333328</v>
      </c>
    </row>
    <row r="26" spans="1:111" s="5" customFormat="1" ht="7.5" customHeight="1" x14ac:dyDescent="0.25">
      <c r="A26" s="11"/>
      <c r="B26" s="11"/>
      <c r="C26" s="12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111" s="19" customFormat="1" ht="14.25" customHeight="1" x14ac:dyDescent="0.3">
      <c r="A27" s="135" t="s">
        <v>7</v>
      </c>
      <c r="B27" s="136"/>
      <c r="C27" s="137"/>
      <c r="D27" s="29">
        <v>0</v>
      </c>
      <c r="E27" s="29">
        <f t="shared" ref="E27:AB27" si="15">E14-E25</f>
        <v>-13415.633333333331</v>
      </c>
      <c r="F27" s="29">
        <f t="shared" si="15"/>
        <v>8543.2166666666744</v>
      </c>
      <c r="G27" s="29">
        <f t="shared" si="15"/>
        <v>80502.066666666651</v>
      </c>
      <c r="H27" s="29">
        <f t="shared" si="15"/>
        <v>126481.4916666667</v>
      </c>
      <c r="I27" s="29">
        <f t="shared" ca="1" si="15"/>
        <v>64522.641666666605</v>
      </c>
      <c r="J27" s="29">
        <f t="shared" ca="1" si="15"/>
        <v>157460.91666666663</v>
      </c>
      <c r="K27" s="29">
        <f t="shared" ca="1" si="15"/>
        <v>184419.7666666666</v>
      </c>
      <c r="L27" s="29">
        <f t="shared" ca="1" si="15"/>
        <v>122460.91666666663</v>
      </c>
      <c r="M27" s="29">
        <f t="shared" ca="1" si="15"/>
        <v>184419.7666666666</v>
      </c>
      <c r="N27" s="29">
        <f t="shared" ca="1" si="15"/>
        <v>159636.22666666668</v>
      </c>
      <c r="O27" s="29">
        <f t="shared" ca="1" si="15"/>
        <v>147244.45666666667</v>
      </c>
      <c r="P27" s="29">
        <f t="shared" ca="1" si="15"/>
        <v>184419.7666666666</v>
      </c>
      <c r="Q27" s="29">
        <f t="shared" ca="1" si="15"/>
        <v>246378.6166666667</v>
      </c>
      <c r="R27" s="29">
        <f t="shared" ca="1" si="15"/>
        <v>258770.38666666672</v>
      </c>
      <c r="S27" s="29">
        <f t="shared" ca="1" si="15"/>
        <v>308337.46666666667</v>
      </c>
      <c r="T27" s="29">
        <f t="shared" ca="1" si="15"/>
        <v>246378.6166666667</v>
      </c>
      <c r="U27" s="29">
        <f t="shared" ca="1" si="15"/>
        <v>258770.38666666672</v>
      </c>
      <c r="V27" s="29">
        <f t="shared" ca="1" si="15"/>
        <v>221595.07666666666</v>
      </c>
      <c r="W27" s="29">
        <f t="shared" ca="1" si="15"/>
        <v>196811.53666666662</v>
      </c>
      <c r="X27" s="29">
        <f t="shared" ca="1" si="15"/>
        <v>184419.7666666666</v>
      </c>
      <c r="Y27" s="29">
        <f t="shared" ca="1" si="15"/>
        <v>233986.84666666668</v>
      </c>
      <c r="Z27" s="29">
        <f t="shared" ca="1" si="15"/>
        <v>246378.6166666667</v>
      </c>
      <c r="AA27" s="29">
        <f t="shared" ca="1" si="15"/>
        <v>258770.38666666672</v>
      </c>
      <c r="AB27" s="29">
        <f t="shared" ca="1" si="15"/>
        <v>258770.38666666672</v>
      </c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</row>
    <row r="28" spans="1:111" s="5" customFormat="1" ht="9" customHeight="1" x14ac:dyDescent="0.25">
      <c r="A28" s="34"/>
      <c r="B28" s="34"/>
      <c r="C28" s="3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111" s="33" customFormat="1" ht="13.5" customHeight="1" x14ac:dyDescent="0.25">
      <c r="A29" s="138" t="s">
        <v>13</v>
      </c>
      <c r="B29" s="139"/>
      <c r="C29" s="140"/>
      <c r="D29" s="32">
        <v>0</v>
      </c>
      <c r="E29" s="32">
        <f>(E14-E25)*0.15</f>
        <v>-2012.3449999999996</v>
      </c>
      <c r="F29" s="32">
        <f t="shared" ref="F29:AB29" si="16">(F14-F25)*0.15</f>
        <v>1281.4825000000012</v>
      </c>
      <c r="G29" s="32">
        <f t="shared" si="16"/>
        <v>12075.309999999998</v>
      </c>
      <c r="H29" s="32">
        <f t="shared" si="16"/>
        <v>18972.223750000005</v>
      </c>
      <c r="I29" s="32">
        <f t="shared" ca="1" si="16"/>
        <v>9678.3962499999907</v>
      </c>
      <c r="J29" s="32">
        <f t="shared" ca="1" si="16"/>
        <v>23619.137499999993</v>
      </c>
      <c r="K29" s="32">
        <f t="shared" ca="1" si="16"/>
        <v>27662.964999999989</v>
      </c>
      <c r="L29" s="32">
        <f t="shared" ca="1" si="16"/>
        <v>18369.137499999993</v>
      </c>
      <c r="M29" s="32">
        <f t="shared" ca="1" si="16"/>
        <v>27662.964999999989</v>
      </c>
      <c r="N29" s="32">
        <f t="shared" ca="1" si="16"/>
        <v>23945.434000000001</v>
      </c>
      <c r="O29" s="32">
        <f t="shared" ca="1" si="16"/>
        <v>22086.6685</v>
      </c>
      <c r="P29" s="32">
        <f t="shared" ca="1" si="16"/>
        <v>27662.964999999989</v>
      </c>
      <c r="Q29" s="32">
        <f t="shared" ca="1" si="16"/>
        <v>36956.792500000003</v>
      </c>
      <c r="R29" s="32">
        <f t="shared" ca="1" si="16"/>
        <v>38815.558000000005</v>
      </c>
      <c r="S29" s="32">
        <f t="shared" ca="1" si="16"/>
        <v>46250.62</v>
      </c>
      <c r="T29" s="32">
        <f t="shared" ca="1" si="16"/>
        <v>36956.792500000003</v>
      </c>
      <c r="U29" s="32">
        <f t="shared" ca="1" si="16"/>
        <v>38815.558000000005</v>
      </c>
      <c r="V29" s="32">
        <f t="shared" ca="1" si="16"/>
        <v>33239.261500000001</v>
      </c>
      <c r="W29" s="32">
        <f t="shared" ca="1" si="16"/>
        <v>29521.730499999991</v>
      </c>
      <c r="X29" s="32">
        <f t="shared" ca="1" si="16"/>
        <v>27662.964999999989</v>
      </c>
      <c r="Y29" s="32">
        <f t="shared" ca="1" si="16"/>
        <v>35098.027000000002</v>
      </c>
      <c r="Z29" s="32">
        <f t="shared" ca="1" si="16"/>
        <v>36956.792500000003</v>
      </c>
      <c r="AA29" s="32">
        <f t="shared" ca="1" si="16"/>
        <v>38815.558000000005</v>
      </c>
      <c r="AB29" s="32">
        <f t="shared" ca="1" si="16"/>
        <v>38815.558000000005</v>
      </c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</row>
    <row r="30" spans="1:111" s="5" customFormat="1" ht="9" customHeight="1" x14ac:dyDescent="0.25">
      <c r="A30" s="34"/>
      <c r="B30" s="34"/>
      <c r="C30" s="3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111" ht="20.25" customHeight="1" x14ac:dyDescent="0.25">
      <c r="A31" s="141" t="s">
        <v>14</v>
      </c>
      <c r="B31" s="142"/>
      <c r="C31" s="143"/>
      <c r="D31" s="72">
        <v>0</v>
      </c>
      <c r="E31" s="72">
        <f>E27-E29</f>
        <v>-11403.288333333332</v>
      </c>
      <c r="F31" s="72">
        <f t="shared" ref="F31:AB31" si="17">F27-F29</f>
        <v>7261.7341666666734</v>
      </c>
      <c r="G31" s="72">
        <f t="shared" si="17"/>
        <v>68426.756666666653</v>
      </c>
      <c r="H31" s="72">
        <f t="shared" si="17"/>
        <v>107509.26791666669</v>
      </c>
      <c r="I31" s="72">
        <f t="shared" ca="1" si="17"/>
        <v>54844.245416666614</v>
      </c>
      <c r="J31" s="73">
        <f t="shared" ca="1" si="17"/>
        <v>133841.77916666665</v>
      </c>
      <c r="K31" s="73">
        <f t="shared" ca="1" si="17"/>
        <v>156756.80166666661</v>
      </c>
      <c r="L31" s="73">
        <f t="shared" ca="1" si="17"/>
        <v>104091.77916666663</v>
      </c>
      <c r="M31" s="73">
        <f t="shared" ca="1" si="17"/>
        <v>156756.80166666661</v>
      </c>
      <c r="N31" s="73">
        <f t="shared" ca="1" si="17"/>
        <v>135690.79266666668</v>
      </c>
      <c r="O31" s="73">
        <f t="shared" ca="1" si="17"/>
        <v>125157.78816666667</v>
      </c>
      <c r="P31" s="72">
        <f t="shared" ca="1" si="17"/>
        <v>156756.80166666661</v>
      </c>
      <c r="Q31" s="72">
        <f t="shared" ca="1" si="17"/>
        <v>209421.82416666669</v>
      </c>
      <c r="R31" s="72">
        <f t="shared" ca="1" si="17"/>
        <v>219954.8286666667</v>
      </c>
      <c r="S31" s="72">
        <f t="shared" ca="1" si="17"/>
        <v>262086.84666666668</v>
      </c>
      <c r="T31" s="72">
        <f t="shared" ca="1" si="17"/>
        <v>209421.82416666669</v>
      </c>
      <c r="U31" s="72">
        <f t="shared" ca="1" si="17"/>
        <v>219954.8286666667</v>
      </c>
      <c r="V31" s="72">
        <f t="shared" ca="1" si="17"/>
        <v>188355.81516666667</v>
      </c>
      <c r="W31" s="72">
        <f t="shared" ca="1" si="17"/>
        <v>167289.80616666662</v>
      </c>
      <c r="X31" s="72">
        <f t="shared" ca="1" si="17"/>
        <v>156756.80166666661</v>
      </c>
      <c r="Y31" s="72">
        <f t="shared" ca="1" si="17"/>
        <v>198888.81966666668</v>
      </c>
      <c r="Z31" s="72">
        <f t="shared" ca="1" si="17"/>
        <v>209421.82416666669</v>
      </c>
      <c r="AA31" s="72">
        <f t="shared" ca="1" si="17"/>
        <v>219954.8286666667</v>
      </c>
      <c r="AB31" s="72">
        <f t="shared" ca="1" si="17"/>
        <v>219954.8286666667</v>
      </c>
    </row>
    <row r="32" spans="1:111" s="5" customFormat="1" ht="10.5" customHeight="1" x14ac:dyDescent="0.25">
      <c r="A32" s="34"/>
      <c r="B32" s="34"/>
      <c r="C32" s="3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111" s="4" customFormat="1" ht="18" customHeight="1" x14ac:dyDescent="0.25">
      <c r="A33" s="125" t="s">
        <v>8</v>
      </c>
      <c r="B33" s="126"/>
      <c r="C33" s="127"/>
      <c r="D33" s="74">
        <f>-'Исходные данные'!$C$48-D27</f>
        <v>-404000</v>
      </c>
      <c r="E33" s="74">
        <f t="shared" ref="E33:AB33" si="18">D33+E27</f>
        <v>-417415.6333333333</v>
      </c>
      <c r="F33" s="74">
        <f t="shared" si="18"/>
        <v>-408872.41666666663</v>
      </c>
      <c r="G33" s="74">
        <f t="shared" si="18"/>
        <v>-328370.34999999998</v>
      </c>
      <c r="H33" s="74">
        <f t="shared" si="18"/>
        <v>-201888.85833333328</v>
      </c>
      <c r="I33" s="74">
        <f t="shared" ca="1" si="18"/>
        <v>-137366.21666666667</v>
      </c>
      <c r="J33" s="74">
        <f t="shared" ca="1" si="18"/>
        <v>20094.699999999953</v>
      </c>
      <c r="K33" s="74">
        <f t="shared" ca="1" si="18"/>
        <v>204514.46666666656</v>
      </c>
      <c r="L33" s="74">
        <f t="shared" ca="1" si="18"/>
        <v>326975.38333333319</v>
      </c>
      <c r="M33" s="74">
        <f t="shared" ca="1" si="18"/>
        <v>511395.14999999979</v>
      </c>
      <c r="N33" s="74">
        <f t="shared" ca="1" si="18"/>
        <v>671031.37666666647</v>
      </c>
      <c r="O33" s="74">
        <f t="shared" ca="1" si="18"/>
        <v>818275.83333333314</v>
      </c>
      <c r="P33" s="74">
        <f t="shared" ca="1" si="18"/>
        <v>1002695.5999999997</v>
      </c>
      <c r="Q33" s="74">
        <f t="shared" ca="1" si="18"/>
        <v>1249074.2166666663</v>
      </c>
      <c r="R33" s="74">
        <f t="shared" ca="1" si="18"/>
        <v>1507844.603333333</v>
      </c>
      <c r="S33" s="74">
        <f t="shared" ca="1" si="18"/>
        <v>1816182.0699999998</v>
      </c>
      <c r="T33" s="74">
        <f t="shared" ca="1" si="18"/>
        <v>2062560.6866666665</v>
      </c>
      <c r="U33" s="74">
        <f t="shared" ca="1" si="18"/>
        <v>2321331.0733333332</v>
      </c>
      <c r="V33" s="74">
        <f t="shared" ca="1" si="18"/>
        <v>2542926.15</v>
      </c>
      <c r="W33" s="74">
        <f t="shared" ca="1" si="18"/>
        <v>2739737.6866666665</v>
      </c>
      <c r="X33" s="74">
        <f t="shared" ca="1" si="18"/>
        <v>2924157.4533333331</v>
      </c>
      <c r="Y33" s="74">
        <f t="shared" ca="1" si="18"/>
        <v>3158144.3</v>
      </c>
      <c r="Z33" s="74">
        <f t="shared" ca="1" si="18"/>
        <v>3404522.9166666665</v>
      </c>
      <c r="AA33" s="74">
        <f t="shared" ca="1" si="18"/>
        <v>3663293.3033333332</v>
      </c>
      <c r="AB33" s="74">
        <f t="shared" ca="1" si="18"/>
        <v>3922063.69</v>
      </c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</row>
    <row r="34" spans="1:111" s="5" customFormat="1" ht="12" customHeight="1" x14ac:dyDescent="0.25"/>
    <row r="35" spans="1:111" s="5" customFormat="1" x14ac:dyDescent="0.25"/>
    <row r="36" spans="1:111" s="5" customFormat="1" x14ac:dyDescent="0.25"/>
    <row r="37" spans="1:111" s="5" customFormat="1" x14ac:dyDescent="0.25"/>
    <row r="38" spans="1:111" s="5" customFormat="1" x14ac:dyDescent="0.25"/>
    <row r="39" spans="1:111" s="5" customFormat="1" x14ac:dyDescent="0.25"/>
    <row r="40" spans="1:111" s="5" customFormat="1" x14ac:dyDescent="0.25"/>
    <row r="41" spans="1:111" s="5" customFormat="1" x14ac:dyDescent="0.25"/>
    <row r="42" spans="1:111" s="5" customFormat="1" x14ac:dyDescent="0.25"/>
    <row r="43" spans="1:111" s="5" customFormat="1" x14ac:dyDescent="0.25"/>
    <row r="44" spans="1:111" s="5" customFormat="1" x14ac:dyDescent="0.25"/>
    <row r="45" spans="1:111" s="5" customFormat="1" x14ac:dyDescent="0.25"/>
    <row r="46" spans="1:111" s="5" customFormat="1" x14ac:dyDescent="0.25"/>
    <row r="47" spans="1:111" s="5" customFormat="1" x14ac:dyDescent="0.25"/>
    <row r="48" spans="1:111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</sheetData>
  <mergeCells count="15">
    <mergeCell ref="A14:C14"/>
    <mergeCell ref="A1:AB1"/>
    <mergeCell ref="A3:C3"/>
    <mergeCell ref="A5:C5"/>
    <mergeCell ref="D5:P5"/>
    <mergeCell ref="Q5:AB5"/>
    <mergeCell ref="A2:C2"/>
    <mergeCell ref="A33:C33"/>
    <mergeCell ref="A16:C16"/>
    <mergeCell ref="D16:P16"/>
    <mergeCell ref="Q16:AB16"/>
    <mergeCell ref="A25:C25"/>
    <mergeCell ref="A27:C27"/>
    <mergeCell ref="A29:C29"/>
    <mergeCell ref="A31:C31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49" r:id="rId3" name="CommandButton1">
          <controlPr defaultSize="0" autoLine="0" r:id="rId4">
            <anchor moveWithCells="1">
              <from>
                <xdr:col>9</xdr:col>
                <xdr:colOff>257175</xdr:colOff>
                <xdr:row>34</xdr:row>
                <xdr:rowOff>0</xdr:rowOff>
              </from>
              <to>
                <xdr:col>16</xdr:col>
                <xdr:colOff>352425</xdr:colOff>
                <xdr:row>35</xdr:row>
                <xdr:rowOff>85725</xdr:rowOff>
              </to>
            </anchor>
          </controlPr>
        </control>
      </mc:Choice>
      <mc:Fallback>
        <control shapeId="2049" r:id="rId3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9" tint="0.39997558519241921"/>
  </sheetPr>
  <dimension ref="A1:CX1"/>
  <sheetViews>
    <sheetView topLeftCell="A18" workbookViewId="0">
      <selection activeCell="P15" sqref="P15"/>
    </sheetView>
  </sheetViews>
  <sheetFormatPr defaultRowHeight="15" x14ac:dyDescent="0.25"/>
  <cols>
    <col min="1" max="102" width="9.140625" style="5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Исходные данные</vt:lpstr>
      <vt:lpstr>Ключевые показатели</vt:lpstr>
      <vt:lpstr>Финансовая модель</vt:lpstr>
      <vt:lpstr>Динамика</vt:lpstr>
      <vt:lpstr>аренда</vt:lpstr>
      <vt:lpstr>бюджет</vt:lpstr>
      <vt:lpstr>ЗарплатаСтавка</vt:lpstr>
      <vt:lpstr>конверсия1</vt:lpstr>
      <vt:lpstr>конверсия2</vt:lpstr>
      <vt:lpstr>Курс</vt:lpstr>
      <vt:lpstr>лид</vt:lpstr>
      <vt:lpstr>Налог</vt:lpstr>
      <vt:lpstr>отклонение1</vt:lpstr>
      <vt:lpstr>Пакеты</vt:lpstr>
      <vt:lpstr>Паушальный</vt:lpstr>
      <vt:lpstr>площадь</vt:lpstr>
      <vt:lpstr>роялти</vt:lpstr>
      <vt:lpstr>СреднийЧек</vt:lpstr>
      <vt:lpstr>срок</vt:lpstr>
      <vt:lpstr>ст</vt:lpstr>
      <vt:lpstr>ст1</vt:lpstr>
      <vt:lpstr>ст2</vt:lpstr>
      <vt:lpstr>ст3</vt:lpstr>
      <vt:lpstr>ст4</vt:lpstr>
      <vt:lpstr>ст5</vt:lpstr>
      <vt:lpstr>ставкаАренда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2017-06-02T12:13:12Z</dcterms:modified>
</cp:coreProperties>
</file>