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C:\Users\user\Desktop\ЧР ростов\"/>
    </mc:Choice>
  </mc:AlternateContent>
  <bookViews>
    <workbookView xWindow="0" yWindow="0" windowWidth="19200" windowHeight="5835" tabRatio="725"/>
  </bookViews>
  <sheets>
    <sheet name="Модель" sheetId="11" r:id="rId1"/>
    <sheet name="СashFlow" sheetId="1" r:id="rId2"/>
    <sheet name="Посетители" sheetId="3" r:id="rId3"/>
    <sheet name="Аренда" sheetId="10" r:id="rId4"/>
    <sheet name="ЗП" sheetId="7" r:id="rId5"/>
    <sheet name="Прибыль" sheetId="4" r:id="rId6"/>
  </sheets>
  <definedNames>
    <definedName name="Z_FFE0F0C0_1FAE_11D5_B079_006097A7FDE2_.wvu.Cols" localSheetId="1">СashFlow!#REF!</definedName>
    <definedName name="Z_FFE0F0C0_1FAE_11D5_B079_006097A7FDE2_.wvu.PrintArea" localSheetId="1">СashFlow!$A$1:$R$72</definedName>
    <definedName name="_xlnm.Print_Area" localSheetId="3">Аренда!$A$1:$C$31</definedName>
    <definedName name="_xlnm.Print_Area" localSheetId="4">ЗП!$A$1:$H$12</definedName>
    <definedName name="_xlnm.Print_Area" localSheetId="0">Модель!$B$3:$V$31</definedName>
    <definedName name="_xlnm.Print_Area" localSheetId="2">Посетители!$B$1:$I$48</definedName>
    <definedName name="_xlnm.Print_Area" localSheetId="1">СashFlow!$A$1:$T$70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1" l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H26" i="1"/>
  <c r="G26" i="1"/>
  <c r="H21" i="1"/>
  <c r="I21" i="1"/>
  <c r="J21" i="1"/>
  <c r="K21" i="1"/>
  <c r="L14" i="1"/>
  <c r="L15" i="1"/>
  <c r="L18" i="1"/>
  <c r="L21" i="1"/>
  <c r="M14" i="1"/>
  <c r="M15" i="1"/>
  <c r="M18" i="1"/>
  <c r="M21" i="1"/>
  <c r="N14" i="1"/>
  <c r="N15" i="1"/>
  <c r="N18" i="1"/>
  <c r="N21" i="1"/>
  <c r="O14" i="1"/>
  <c r="O15" i="1"/>
  <c r="O18" i="1"/>
  <c r="O21" i="1"/>
  <c r="P14" i="1"/>
  <c r="P15" i="1"/>
  <c r="P18" i="1"/>
  <c r="P21" i="1"/>
  <c r="Q14" i="1"/>
  <c r="Q15" i="1"/>
  <c r="Q18" i="1"/>
  <c r="Q21" i="1"/>
  <c r="R14" i="1"/>
  <c r="R15" i="1"/>
  <c r="R18" i="1"/>
  <c r="R21" i="1"/>
  <c r="S14" i="1"/>
  <c r="S15" i="1"/>
  <c r="S18" i="1"/>
  <c r="S21" i="1"/>
  <c r="T14" i="1"/>
  <c r="T15" i="1"/>
  <c r="T18" i="1"/>
  <c r="T21" i="1"/>
  <c r="U14" i="1"/>
  <c r="U15" i="1"/>
  <c r="U18" i="1"/>
  <c r="U21" i="1"/>
  <c r="V14" i="1"/>
  <c r="V15" i="1"/>
  <c r="V18" i="1"/>
  <c r="V21" i="1"/>
  <c r="W14" i="1"/>
  <c r="W15" i="1"/>
  <c r="W18" i="1"/>
  <c r="W21" i="1"/>
  <c r="X14" i="1"/>
  <c r="X15" i="1"/>
  <c r="X18" i="1"/>
  <c r="X21" i="1"/>
  <c r="Y14" i="1"/>
  <c r="Y15" i="1"/>
  <c r="Y18" i="1"/>
  <c r="Y21" i="1"/>
  <c r="Z14" i="1"/>
  <c r="Z15" i="1"/>
  <c r="Z18" i="1"/>
  <c r="Z21" i="1"/>
  <c r="AA14" i="1"/>
  <c r="AA15" i="1"/>
  <c r="AA18" i="1"/>
  <c r="AA21" i="1"/>
  <c r="AB14" i="1"/>
  <c r="AB15" i="1"/>
  <c r="AB18" i="1"/>
  <c r="AB21" i="1"/>
  <c r="AC14" i="1"/>
  <c r="AC15" i="1"/>
  <c r="AC18" i="1"/>
  <c r="AC21" i="1"/>
  <c r="AD14" i="1"/>
  <c r="AD15" i="1"/>
  <c r="AD18" i="1"/>
  <c r="AD21" i="1"/>
  <c r="AE14" i="1"/>
  <c r="AE15" i="1"/>
  <c r="AE18" i="1"/>
  <c r="AE21" i="1"/>
  <c r="AF14" i="1"/>
  <c r="AF15" i="1"/>
  <c r="AF18" i="1"/>
  <c r="AF21" i="1"/>
  <c r="AG14" i="1"/>
  <c r="AG15" i="1"/>
  <c r="AG18" i="1"/>
  <c r="AG21" i="1"/>
  <c r="AH14" i="1"/>
  <c r="AH15" i="1"/>
  <c r="AH18" i="1"/>
  <c r="AH21" i="1"/>
  <c r="AI14" i="1"/>
  <c r="AI15" i="1"/>
  <c r="AI18" i="1"/>
  <c r="AI21" i="1"/>
  <c r="AJ14" i="1"/>
  <c r="AJ15" i="1"/>
  <c r="AJ18" i="1"/>
  <c r="AJ21" i="1"/>
  <c r="AK14" i="1"/>
  <c r="AK15" i="1"/>
  <c r="AK18" i="1"/>
  <c r="AK21" i="1"/>
  <c r="AL14" i="1"/>
  <c r="AL15" i="1"/>
  <c r="AL18" i="1"/>
  <c r="AL21" i="1"/>
  <c r="AM14" i="1"/>
  <c r="AM15" i="1"/>
  <c r="AM18" i="1"/>
  <c r="AM21" i="1"/>
  <c r="AN14" i="1"/>
  <c r="AN15" i="1"/>
  <c r="AN18" i="1"/>
  <c r="AN21" i="1"/>
  <c r="AO14" i="1"/>
  <c r="AO15" i="1"/>
  <c r="AO18" i="1"/>
  <c r="AO21" i="1"/>
  <c r="AP14" i="1"/>
  <c r="AP15" i="1"/>
  <c r="AP18" i="1"/>
  <c r="AP21" i="1"/>
  <c r="G21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G22" i="1"/>
  <c r="C14" i="11"/>
  <c r="G12" i="7"/>
  <c r="C26" i="10"/>
  <c r="C27" i="10"/>
  <c r="C28" i="10"/>
  <c r="C29" i="10"/>
  <c r="C30" i="10"/>
  <c r="C31" i="10"/>
  <c r="F9" i="3"/>
  <c r="D12" i="3"/>
  <c r="F10" i="3"/>
  <c r="F12" i="3"/>
  <c r="G12" i="3"/>
  <c r="I12" i="3"/>
  <c r="K12" i="3"/>
  <c r="F13" i="3"/>
  <c r="G13" i="3"/>
  <c r="I13" i="3"/>
  <c r="K13" i="3"/>
  <c r="P24" i="1"/>
  <c r="P28" i="1"/>
  <c r="P30" i="1"/>
  <c r="P31" i="1"/>
  <c r="P32" i="1"/>
  <c r="P25" i="1"/>
  <c r="H27" i="1"/>
  <c r="I27" i="1"/>
  <c r="J27" i="1"/>
  <c r="K27" i="1"/>
  <c r="L27" i="1"/>
  <c r="M27" i="1"/>
  <c r="N27" i="1"/>
  <c r="O27" i="1"/>
  <c r="P27" i="1"/>
  <c r="P33" i="1"/>
  <c r="H14" i="1"/>
  <c r="H15" i="1"/>
  <c r="H18" i="1"/>
  <c r="H30" i="1"/>
  <c r="I14" i="1"/>
  <c r="I15" i="1"/>
  <c r="I18" i="1"/>
  <c r="I30" i="1"/>
  <c r="J14" i="1"/>
  <c r="J15" i="1"/>
  <c r="J18" i="1"/>
  <c r="J30" i="1"/>
  <c r="K14" i="1"/>
  <c r="K15" i="1"/>
  <c r="K18" i="1"/>
  <c r="K30" i="1"/>
  <c r="L30" i="1"/>
  <c r="M30" i="1"/>
  <c r="N30" i="1"/>
  <c r="O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G14" i="1"/>
  <c r="G15" i="1"/>
  <c r="G18" i="1"/>
  <c r="G30" i="1"/>
  <c r="G28" i="1"/>
  <c r="H32" i="1"/>
  <c r="I32" i="1"/>
  <c r="J32" i="1"/>
  <c r="K32" i="1"/>
  <c r="L32" i="1"/>
  <c r="M32" i="1"/>
  <c r="N32" i="1"/>
  <c r="O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G32" i="1"/>
  <c r="I25" i="1"/>
  <c r="I24" i="1"/>
  <c r="I28" i="1"/>
  <c r="I31" i="1"/>
  <c r="I33" i="1"/>
  <c r="K15" i="11"/>
  <c r="K7" i="11"/>
  <c r="J25" i="1"/>
  <c r="J24" i="1"/>
  <c r="J28" i="1"/>
  <c r="J31" i="1"/>
  <c r="J33" i="1"/>
  <c r="L15" i="11"/>
  <c r="L7" i="11"/>
  <c r="K24" i="1"/>
  <c r="K28" i="1"/>
  <c r="K31" i="1"/>
  <c r="K25" i="1"/>
  <c r="K33" i="1"/>
  <c r="M15" i="11"/>
  <c r="M7" i="11"/>
  <c r="L24" i="1"/>
  <c r="L28" i="1"/>
  <c r="L31" i="1"/>
  <c r="L25" i="1"/>
  <c r="L33" i="1"/>
  <c r="N15" i="11"/>
  <c r="N7" i="11"/>
  <c r="M24" i="1"/>
  <c r="M28" i="1"/>
  <c r="M31" i="1"/>
  <c r="M25" i="1"/>
  <c r="M33" i="1"/>
  <c r="O15" i="11"/>
  <c r="O7" i="11"/>
  <c r="N24" i="1"/>
  <c r="N28" i="1"/>
  <c r="N31" i="1"/>
  <c r="N25" i="1"/>
  <c r="N33" i="1"/>
  <c r="P15" i="11"/>
  <c r="P7" i="11"/>
  <c r="O24" i="1"/>
  <c r="O28" i="1"/>
  <c r="O31" i="1"/>
  <c r="O25" i="1"/>
  <c r="O33" i="1"/>
  <c r="Q15" i="11"/>
  <c r="Q7" i="11"/>
  <c r="H25" i="1"/>
  <c r="H24" i="1"/>
  <c r="H28" i="1"/>
  <c r="H31" i="1"/>
  <c r="H33" i="1"/>
  <c r="J15" i="11"/>
  <c r="J7" i="11"/>
  <c r="G25" i="1"/>
  <c r="G24" i="1"/>
  <c r="G31" i="1"/>
  <c r="G33" i="1"/>
  <c r="I15" i="11"/>
  <c r="I7" i="11"/>
  <c r="I5" i="11"/>
  <c r="I13" i="11"/>
  <c r="I16" i="11"/>
  <c r="I24" i="11"/>
  <c r="Q28" i="1"/>
  <c r="R28" i="1"/>
  <c r="S28" i="1"/>
  <c r="T28" i="1"/>
  <c r="U28" i="1"/>
  <c r="V28" i="1"/>
  <c r="W28" i="1"/>
  <c r="X28" i="1"/>
  <c r="Y28" i="1"/>
  <c r="U15" i="11"/>
  <c r="Z28" i="1"/>
  <c r="AA28" i="1"/>
  <c r="AB28" i="1"/>
  <c r="AC28" i="1"/>
  <c r="AD28" i="1"/>
  <c r="AE28" i="1"/>
  <c r="AF28" i="1"/>
  <c r="AG28" i="1"/>
  <c r="AH28" i="1"/>
  <c r="AI28" i="1"/>
  <c r="AJ28" i="1"/>
  <c r="AK28" i="1"/>
  <c r="V15" i="11"/>
  <c r="I14" i="11"/>
  <c r="Z24" i="1"/>
  <c r="Z31" i="1"/>
  <c r="Z25" i="1"/>
  <c r="Q27" i="1"/>
  <c r="R27" i="1"/>
  <c r="S27" i="1"/>
  <c r="T27" i="1"/>
  <c r="U27" i="1"/>
  <c r="V27" i="1"/>
  <c r="W27" i="1"/>
  <c r="X27" i="1"/>
  <c r="Y27" i="1"/>
  <c r="Z27" i="1"/>
  <c r="Z33" i="1"/>
  <c r="AA24" i="1"/>
  <c r="AA31" i="1"/>
  <c r="AA25" i="1"/>
  <c r="AA27" i="1"/>
  <c r="AA33" i="1"/>
  <c r="AB24" i="1"/>
  <c r="AB31" i="1"/>
  <c r="AB25" i="1"/>
  <c r="AB27" i="1"/>
  <c r="AB33" i="1"/>
  <c r="AC24" i="1"/>
  <c r="AC31" i="1"/>
  <c r="AC25" i="1"/>
  <c r="AC27" i="1"/>
  <c r="AC33" i="1"/>
  <c r="AD24" i="1"/>
  <c r="AD31" i="1"/>
  <c r="AD25" i="1"/>
  <c r="AD27" i="1"/>
  <c r="AD33" i="1"/>
  <c r="AE24" i="1"/>
  <c r="AE31" i="1"/>
  <c r="AE25" i="1"/>
  <c r="AE27" i="1"/>
  <c r="AE33" i="1"/>
  <c r="AF24" i="1"/>
  <c r="AF31" i="1"/>
  <c r="AF25" i="1"/>
  <c r="AF27" i="1"/>
  <c r="AF33" i="1"/>
  <c r="AG24" i="1"/>
  <c r="AG31" i="1"/>
  <c r="AG25" i="1"/>
  <c r="AG27" i="1"/>
  <c r="AG33" i="1"/>
  <c r="AH24" i="1"/>
  <c r="AH31" i="1"/>
  <c r="AH25" i="1"/>
  <c r="AH27" i="1"/>
  <c r="AH33" i="1"/>
  <c r="AI24" i="1"/>
  <c r="AI31" i="1"/>
  <c r="AI25" i="1"/>
  <c r="AI27" i="1"/>
  <c r="AI33" i="1"/>
  <c r="AJ24" i="1"/>
  <c r="AJ31" i="1"/>
  <c r="AJ25" i="1"/>
  <c r="AJ27" i="1"/>
  <c r="AJ33" i="1"/>
  <c r="AK24" i="1"/>
  <c r="AK31" i="1"/>
  <c r="AK25" i="1"/>
  <c r="AK27" i="1"/>
  <c r="AK33" i="1"/>
  <c r="V7" i="11"/>
  <c r="V11" i="11"/>
  <c r="V9" i="11"/>
  <c r="V8" i="11"/>
  <c r="V12" i="11"/>
  <c r="Q24" i="1"/>
  <c r="Q31" i="1"/>
  <c r="Q25" i="1"/>
  <c r="Q33" i="1"/>
  <c r="R24" i="1"/>
  <c r="R31" i="1"/>
  <c r="R25" i="1"/>
  <c r="R33" i="1"/>
  <c r="S24" i="1"/>
  <c r="S31" i="1"/>
  <c r="S25" i="1"/>
  <c r="S33" i="1"/>
  <c r="T24" i="1"/>
  <c r="T31" i="1"/>
  <c r="T25" i="1"/>
  <c r="T33" i="1"/>
  <c r="U24" i="1"/>
  <c r="U31" i="1"/>
  <c r="U25" i="1"/>
  <c r="U33" i="1"/>
  <c r="V24" i="1"/>
  <c r="V31" i="1"/>
  <c r="V25" i="1"/>
  <c r="V33" i="1"/>
  <c r="W24" i="1"/>
  <c r="W31" i="1"/>
  <c r="W25" i="1"/>
  <c r="W33" i="1"/>
  <c r="X24" i="1"/>
  <c r="X31" i="1"/>
  <c r="X25" i="1"/>
  <c r="X33" i="1"/>
  <c r="Y24" i="1"/>
  <c r="Y31" i="1"/>
  <c r="Y25" i="1"/>
  <c r="Y33" i="1"/>
  <c r="U7" i="11"/>
  <c r="U11" i="11"/>
  <c r="U9" i="11"/>
  <c r="U8" i="11"/>
  <c r="U12" i="11"/>
  <c r="K11" i="11"/>
  <c r="K9" i="11"/>
  <c r="K8" i="11"/>
  <c r="K12" i="11"/>
  <c r="I11" i="11"/>
  <c r="I9" i="11"/>
  <c r="I8" i="11"/>
  <c r="I12" i="11"/>
  <c r="J11" i="11"/>
  <c r="J9" i="11"/>
  <c r="J8" i="11"/>
  <c r="J12" i="11"/>
  <c r="L11" i="11"/>
  <c r="L9" i="11"/>
  <c r="L8" i="11"/>
  <c r="L12" i="11"/>
  <c r="M11" i="11"/>
  <c r="M9" i="11"/>
  <c r="M8" i="11"/>
  <c r="M12" i="11"/>
  <c r="N11" i="11"/>
  <c r="N9" i="11"/>
  <c r="N8" i="11"/>
  <c r="N12" i="11"/>
  <c r="O11" i="11"/>
  <c r="O9" i="11"/>
  <c r="O8" i="11"/>
  <c r="O12" i="11"/>
  <c r="P11" i="11"/>
  <c r="P9" i="11"/>
  <c r="P8" i="11"/>
  <c r="P12" i="11"/>
  <c r="Q11" i="11"/>
  <c r="Q9" i="11"/>
  <c r="Q8" i="11"/>
  <c r="Q12" i="11"/>
  <c r="T12" i="11"/>
  <c r="C15" i="10"/>
  <c r="C16" i="10"/>
  <c r="C17" i="10"/>
  <c r="C19" i="10"/>
  <c r="C20" i="10"/>
  <c r="C21" i="10"/>
  <c r="C23" i="11"/>
  <c r="E26" i="1"/>
  <c r="H9" i="11"/>
  <c r="H7" i="11"/>
  <c r="T7" i="11"/>
  <c r="V5" i="11"/>
  <c r="U5" i="11"/>
  <c r="U13" i="11"/>
  <c r="S34" i="1"/>
  <c r="U16" i="11"/>
  <c r="U24" i="11"/>
  <c r="K5" i="11"/>
  <c r="K13" i="11"/>
  <c r="K16" i="11"/>
  <c r="K24" i="11"/>
  <c r="J5" i="11"/>
  <c r="J13" i="11"/>
  <c r="J16" i="11"/>
  <c r="J24" i="11"/>
  <c r="L5" i="11"/>
  <c r="L13" i="11"/>
  <c r="L16" i="11"/>
  <c r="L24" i="11"/>
  <c r="M5" i="11"/>
  <c r="M13" i="11"/>
  <c r="M16" i="11"/>
  <c r="M24" i="11"/>
  <c r="N5" i="11"/>
  <c r="N13" i="11"/>
  <c r="N16" i="11"/>
  <c r="N24" i="11"/>
  <c r="O5" i="11"/>
  <c r="O13" i="11"/>
  <c r="O16" i="11"/>
  <c r="O24" i="11"/>
  <c r="P5" i="11"/>
  <c r="P13" i="11"/>
  <c r="P16" i="11"/>
  <c r="P24" i="11"/>
  <c r="Q5" i="11"/>
  <c r="Q13" i="11"/>
  <c r="Q16" i="11"/>
  <c r="Q24" i="11"/>
  <c r="T24" i="11"/>
  <c r="T11" i="11"/>
  <c r="AL28" i="1"/>
  <c r="AM28" i="1"/>
  <c r="AN28" i="1"/>
  <c r="AO28" i="1"/>
  <c r="AP28" i="1"/>
  <c r="C8" i="11"/>
  <c r="C21" i="11"/>
  <c r="J14" i="3"/>
  <c r="E12" i="7"/>
  <c r="C22" i="11"/>
  <c r="G22" i="11"/>
  <c r="F22" i="11"/>
  <c r="F21" i="11"/>
  <c r="H20" i="11"/>
  <c r="F20" i="11"/>
  <c r="F19" i="11"/>
  <c r="F32" i="1"/>
  <c r="H22" i="11"/>
  <c r="E23" i="1"/>
  <c r="G20" i="11"/>
  <c r="S20" i="11"/>
  <c r="C19" i="11"/>
  <c r="E21" i="1"/>
  <c r="S12" i="11"/>
  <c r="S8" i="11"/>
  <c r="F9" i="11"/>
  <c r="G11" i="11"/>
  <c r="H11" i="11"/>
  <c r="F11" i="11"/>
  <c r="S22" i="11"/>
  <c r="S11" i="11"/>
  <c r="F7" i="11"/>
  <c r="F21" i="1"/>
  <c r="H19" i="11"/>
  <c r="G19" i="11"/>
  <c r="AL27" i="1"/>
  <c r="AM27" i="1"/>
  <c r="AN27" i="1"/>
  <c r="AO27" i="1"/>
  <c r="AP27" i="1"/>
  <c r="S19" i="11"/>
  <c r="F22" i="1"/>
  <c r="H21" i="11"/>
  <c r="H18" i="11"/>
  <c r="E22" i="1"/>
  <c r="G21" i="11"/>
  <c r="G18" i="11"/>
  <c r="F18" i="11"/>
  <c r="S21" i="11"/>
  <c r="S18" i="11"/>
  <c r="F24" i="1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G53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AN59" i="1"/>
  <c r="AO59" i="1"/>
  <c r="AP59" i="1"/>
  <c r="AP64" i="1"/>
  <c r="AQ59" i="1"/>
  <c r="AR59" i="1"/>
  <c r="AS59" i="1"/>
  <c r="AT59" i="1"/>
  <c r="AT64" i="1"/>
  <c r="AT65" i="1"/>
  <c r="AU59" i="1"/>
  <c r="AV59" i="1"/>
  <c r="AW59" i="1"/>
  <c r="AW64" i="1"/>
  <c r="AX59" i="1"/>
  <c r="AX64" i="1"/>
  <c r="AY59" i="1"/>
  <c r="AZ59" i="1"/>
  <c r="AZ65" i="1"/>
  <c r="BA59" i="1"/>
  <c r="BB59" i="1"/>
  <c r="BB64" i="1"/>
  <c r="BC59" i="1"/>
  <c r="BD59" i="1"/>
  <c r="BE59" i="1"/>
  <c r="BF59" i="1"/>
  <c r="BF64" i="1"/>
  <c r="BG59" i="1"/>
  <c r="BH59" i="1"/>
  <c r="BI59" i="1"/>
  <c r="BJ59" i="1"/>
  <c r="BJ65" i="1"/>
  <c r="BJ64" i="1"/>
  <c r="AN64" i="1"/>
  <c r="AO64" i="1"/>
  <c r="AO65" i="1"/>
  <c r="AQ64" i="1"/>
  <c r="AR64" i="1"/>
  <c r="AS64" i="1"/>
  <c r="AU64" i="1"/>
  <c r="AV64" i="1"/>
  <c r="AY64" i="1"/>
  <c r="AZ64" i="1"/>
  <c r="BA64" i="1"/>
  <c r="BA65" i="1"/>
  <c r="BC64" i="1"/>
  <c r="BD64" i="1"/>
  <c r="BE64" i="1"/>
  <c r="BG64" i="1"/>
  <c r="BH64" i="1"/>
  <c r="BI64" i="1"/>
  <c r="C8" i="10"/>
  <c r="C7" i="10"/>
  <c r="C6" i="10"/>
  <c r="C5" i="10"/>
  <c r="F33" i="1"/>
  <c r="F34" i="1"/>
  <c r="AM25" i="1"/>
  <c r="AO25" i="1"/>
  <c r="AP25" i="1"/>
  <c r="B1" i="7"/>
  <c r="A1" i="3"/>
  <c r="AM64" i="1"/>
  <c r="AL64" i="1"/>
  <c r="AK64" i="1"/>
  <c r="AJ64" i="1"/>
  <c r="AI64" i="1"/>
  <c r="AH64" i="1"/>
  <c r="AG64" i="1"/>
  <c r="AF64" i="1"/>
  <c r="AE64" i="1"/>
  <c r="AD64" i="1"/>
  <c r="AC64" i="1"/>
  <c r="AB64" i="1"/>
  <c r="AB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M59" i="1"/>
  <c r="AL59" i="1"/>
  <c r="AL65" i="1"/>
  <c r="AK59" i="1"/>
  <c r="AJ59" i="1"/>
  <c r="AI59" i="1"/>
  <c r="AH59" i="1"/>
  <c r="AH65" i="1"/>
  <c r="AG59" i="1"/>
  <c r="AF59" i="1"/>
  <c r="AE59" i="1"/>
  <c r="AD59" i="1"/>
  <c r="AD65" i="1"/>
  <c r="AC59" i="1"/>
  <c r="AB59" i="1"/>
  <c r="AA59" i="1"/>
  <c r="Z59" i="1"/>
  <c r="Z65" i="1"/>
  <c r="Y59" i="1"/>
  <c r="X59" i="1"/>
  <c r="W59" i="1"/>
  <c r="V59" i="1"/>
  <c r="V65" i="1"/>
  <c r="U59" i="1"/>
  <c r="T59" i="1"/>
  <c r="S59" i="1"/>
  <c r="R59" i="1"/>
  <c r="R65" i="1"/>
  <c r="Q59" i="1"/>
  <c r="P59" i="1"/>
  <c r="O59" i="1"/>
  <c r="N59" i="1"/>
  <c r="N65" i="1"/>
  <c r="M59" i="1"/>
  <c r="L59" i="1"/>
  <c r="K59" i="1"/>
  <c r="J59" i="1"/>
  <c r="J65" i="1"/>
  <c r="I59" i="1"/>
  <c r="H59" i="1"/>
  <c r="G59" i="1"/>
  <c r="G65" i="1"/>
  <c r="F59" i="1"/>
  <c r="E59" i="1"/>
  <c r="D59" i="1"/>
  <c r="C59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F53" i="1"/>
  <c r="E53" i="1"/>
  <c r="D53" i="1"/>
  <c r="C53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C33" i="1"/>
  <c r="C34" i="1"/>
  <c r="AC65" i="1"/>
  <c r="AF65" i="1"/>
  <c r="K65" i="1"/>
  <c r="W65" i="1"/>
  <c r="AA65" i="1"/>
  <c r="AM65" i="1"/>
  <c r="BH65" i="1"/>
  <c r="BE65" i="1"/>
  <c r="AV65" i="1"/>
  <c r="AS65" i="1"/>
  <c r="AP65" i="1"/>
  <c r="AQ65" i="1"/>
  <c r="BI65" i="1"/>
  <c r="D65" i="1"/>
  <c r="H65" i="1"/>
  <c r="L65" i="1"/>
  <c r="P65" i="1"/>
  <c r="T65" i="1"/>
  <c r="X65" i="1"/>
  <c r="AJ65" i="1"/>
  <c r="BB65" i="1"/>
  <c r="C65" i="1"/>
  <c r="O65" i="1"/>
  <c r="S65" i="1"/>
  <c r="AE65" i="1"/>
  <c r="AI65" i="1"/>
  <c r="AX65" i="1"/>
  <c r="AY65" i="1"/>
  <c r="BC65" i="1"/>
  <c r="E65" i="1"/>
  <c r="I65" i="1"/>
  <c r="M65" i="1"/>
  <c r="Q65" i="1"/>
  <c r="U65" i="1"/>
  <c r="Y65" i="1"/>
  <c r="AG65" i="1"/>
  <c r="AK65" i="1"/>
  <c r="BF65" i="1"/>
  <c r="AW65" i="1"/>
  <c r="AR65" i="1"/>
  <c r="F65" i="1"/>
  <c r="F68" i="1"/>
  <c r="BG65" i="1"/>
  <c r="AU65" i="1"/>
  <c r="BD65" i="1"/>
  <c r="AN65" i="1"/>
  <c r="C68" i="1"/>
  <c r="AN25" i="1"/>
  <c r="AL25" i="1"/>
  <c r="H13" i="11"/>
  <c r="E33" i="1"/>
  <c r="E34" i="1"/>
  <c r="C25" i="11"/>
  <c r="C11" i="1"/>
  <c r="G9" i="11"/>
  <c r="D33" i="1"/>
  <c r="D34" i="1"/>
  <c r="T8" i="11"/>
  <c r="I14" i="3"/>
  <c r="AR33" i="1"/>
  <c r="AR31" i="1"/>
  <c r="AR29" i="1"/>
  <c r="AR27" i="1"/>
  <c r="AR25" i="1"/>
  <c r="AR23" i="1"/>
  <c r="AR21" i="1"/>
  <c r="AR19" i="1"/>
  <c r="AR17" i="1"/>
  <c r="AR15" i="1"/>
  <c r="AV33" i="1"/>
  <c r="AV31" i="1"/>
  <c r="AV29" i="1"/>
  <c r="AV27" i="1"/>
  <c r="AV25" i="1"/>
  <c r="AV23" i="1"/>
  <c r="AV21" i="1"/>
  <c r="AV19" i="1"/>
  <c r="AV17" i="1"/>
  <c r="AV15" i="1"/>
  <c r="AZ33" i="1"/>
  <c r="AZ31" i="1"/>
  <c r="AZ29" i="1"/>
  <c r="AZ27" i="1"/>
  <c r="AZ25" i="1"/>
  <c r="AZ23" i="1"/>
  <c r="AZ21" i="1"/>
  <c r="AZ19" i="1"/>
  <c r="AZ17" i="1"/>
  <c r="AZ15" i="1"/>
  <c r="BD33" i="1"/>
  <c r="BD31" i="1"/>
  <c r="BD29" i="1"/>
  <c r="BD27" i="1"/>
  <c r="BD25" i="1"/>
  <c r="BD23" i="1"/>
  <c r="BD21" i="1"/>
  <c r="BD19" i="1"/>
  <c r="BD17" i="1"/>
  <c r="BD15" i="1"/>
  <c r="BH33" i="1"/>
  <c r="BH31" i="1"/>
  <c r="BH29" i="1"/>
  <c r="BH27" i="1"/>
  <c r="BH25" i="1"/>
  <c r="BH23" i="1"/>
  <c r="BH21" i="1"/>
  <c r="BH19" i="1"/>
  <c r="BH17" i="1"/>
  <c r="BH15" i="1"/>
  <c r="AR34" i="1"/>
  <c r="AR32" i="1"/>
  <c r="AR30" i="1"/>
  <c r="AR28" i="1"/>
  <c r="AR26" i="1"/>
  <c r="AR24" i="1"/>
  <c r="AR22" i="1"/>
  <c r="AR20" i="1"/>
  <c r="AR18" i="1"/>
  <c r="AR16" i="1"/>
  <c r="AR14" i="1"/>
  <c r="AV34" i="1"/>
  <c r="AV32" i="1"/>
  <c r="AV30" i="1"/>
  <c r="AV28" i="1"/>
  <c r="AV26" i="1"/>
  <c r="AV24" i="1"/>
  <c r="AV22" i="1"/>
  <c r="AV20" i="1"/>
  <c r="AV18" i="1"/>
  <c r="AV16" i="1"/>
  <c r="AV14" i="1"/>
  <c r="AZ34" i="1"/>
  <c r="AZ32" i="1"/>
  <c r="AZ30" i="1"/>
  <c r="AZ28" i="1"/>
  <c r="AZ26" i="1"/>
  <c r="AZ24" i="1"/>
  <c r="AZ22" i="1"/>
  <c r="AZ20" i="1"/>
  <c r="AZ18" i="1"/>
  <c r="AZ16" i="1"/>
  <c r="AZ14" i="1"/>
  <c r="BD34" i="1"/>
  <c r="BD32" i="1"/>
  <c r="BD30" i="1"/>
  <c r="BD28" i="1"/>
  <c r="BD26" i="1"/>
  <c r="BD24" i="1"/>
  <c r="BD22" i="1"/>
  <c r="BD20" i="1"/>
  <c r="BD18" i="1"/>
  <c r="BD16" i="1"/>
  <c r="BD14" i="1"/>
  <c r="BH34" i="1"/>
  <c r="BH32" i="1"/>
  <c r="BH30" i="1"/>
  <c r="BH28" i="1"/>
  <c r="BH26" i="1"/>
  <c r="BH24" i="1"/>
  <c r="BH22" i="1"/>
  <c r="BH20" i="1"/>
  <c r="BH18" i="1"/>
  <c r="BH16" i="1"/>
  <c r="BH14" i="1"/>
  <c r="BB33" i="1"/>
  <c r="BB31" i="1"/>
  <c r="BB29" i="1"/>
  <c r="BB27" i="1"/>
  <c r="BB25" i="1"/>
  <c r="BB23" i="1"/>
  <c r="BB21" i="1"/>
  <c r="BB19" i="1"/>
  <c r="BB17" i="1"/>
  <c r="BB15" i="1"/>
  <c r="BJ33" i="1"/>
  <c r="BJ31" i="1"/>
  <c r="BJ29" i="1"/>
  <c r="BJ27" i="1"/>
  <c r="BJ25" i="1"/>
  <c r="BJ23" i="1"/>
  <c r="BJ21" i="1"/>
  <c r="BJ19" i="1"/>
  <c r="BJ17" i="1"/>
  <c r="BJ15" i="1"/>
  <c r="BB34" i="1"/>
  <c r="BB32" i="1"/>
  <c r="BB30" i="1"/>
  <c r="BB28" i="1"/>
  <c r="BB26" i="1"/>
  <c r="BB24" i="1"/>
  <c r="BB22" i="1"/>
  <c r="BB20" i="1"/>
  <c r="BB18" i="1"/>
  <c r="BB16" i="1"/>
  <c r="BB14" i="1"/>
  <c r="BJ34" i="1"/>
  <c r="BJ32" i="1"/>
  <c r="BJ30" i="1"/>
  <c r="BJ28" i="1"/>
  <c r="BJ26" i="1"/>
  <c r="BJ24" i="1"/>
  <c r="BJ22" i="1"/>
  <c r="BJ20" i="1"/>
  <c r="BJ18" i="1"/>
  <c r="BJ16" i="1"/>
  <c r="BJ14" i="1"/>
  <c r="AQ33" i="1"/>
  <c r="AQ31" i="1"/>
  <c r="AQ29" i="1"/>
  <c r="AQ27" i="1"/>
  <c r="AQ25" i="1"/>
  <c r="AQ23" i="1"/>
  <c r="AQ21" i="1"/>
  <c r="AQ19" i="1"/>
  <c r="AQ17" i="1"/>
  <c r="AQ15" i="1"/>
  <c r="AY33" i="1"/>
  <c r="AY31" i="1"/>
  <c r="AY29" i="1"/>
  <c r="AY27" i="1"/>
  <c r="AY25" i="1"/>
  <c r="AY23" i="1"/>
  <c r="AY21" i="1"/>
  <c r="AY19" i="1"/>
  <c r="AY17" i="1"/>
  <c r="AY15" i="1"/>
  <c r="BG33" i="1"/>
  <c r="BG31" i="1"/>
  <c r="BG29" i="1"/>
  <c r="BG27" i="1"/>
  <c r="BG25" i="1"/>
  <c r="BG23" i="1"/>
  <c r="BG21" i="1"/>
  <c r="BG19" i="1"/>
  <c r="BG17" i="1"/>
  <c r="BG15" i="1"/>
  <c r="AU34" i="1"/>
  <c r="AU32" i="1"/>
  <c r="AU30" i="1"/>
  <c r="AU28" i="1"/>
  <c r="AU26" i="1"/>
  <c r="AU24" i="1"/>
  <c r="AU22" i="1"/>
  <c r="AU20" i="1"/>
  <c r="AU18" i="1"/>
  <c r="AU16" i="1"/>
  <c r="AU14" i="1"/>
  <c r="BC34" i="1"/>
  <c r="BC32" i="1"/>
  <c r="BC30" i="1"/>
  <c r="BC28" i="1"/>
  <c r="BC26" i="1"/>
  <c r="BC24" i="1"/>
  <c r="BC22" i="1"/>
  <c r="BC20" i="1"/>
  <c r="BC18" i="1"/>
  <c r="BC16" i="1"/>
  <c r="BC14" i="1"/>
  <c r="AS33" i="1"/>
  <c r="AS31" i="1"/>
  <c r="AS29" i="1"/>
  <c r="AS27" i="1"/>
  <c r="AS25" i="1"/>
  <c r="AS23" i="1"/>
  <c r="AS21" i="1"/>
  <c r="AS19" i="1"/>
  <c r="AS17" i="1"/>
  <c r="AS15" i="1"/>
  <c r="AW33" i="1"/>
  <c r="AW31" i="1"/>
  <c r="AW29" i="1"/>
  <c r="AW27" i="1"/>
  <c r="AW25" i="1"/>
  <c r="AW23" i="1"/>
  <c r="AW21" i="1"/>
  <c r="AW19" i="1"/>
  <c r="AW17" i="1"/>
  <c r="AW15" i="1"/>
  <c r="BA33" i="1"/>
  <c r="BA31" i="1"/>
  <c r="BA29" i="1"/>
  <c r="BA27" i="1"/>
  <c r="BA25" i="1"/>
  <c r="BA23" i="1"/>
  <c r="BA21" i="1"/>
  <c r="BA19" i="1"/>
  <c r="BA17" i="1"/>
  <c r="BA15" i="1"/>
  <c r="BE33" i="1"/>
  <c r="BE31" i="1"/>
  <c r="BE29" i="1"/>
  <c r="BE27" i="1"/>
  <c r="BE25" i="1"/>
  <c r="BE23" i="1"/>
  <c r="BE21" i="1"/>
  <c r="BE19" i="1"/>
  <c r="BE17" i="1"/>
  <c r="BE15" i="1"/>
  <c r="BI33" i="1"/>
  <c r="BI31" i="1"/>
  <c r="BI29" i="1"/>
  <c r="BI27" i="1"/>
  <c r="BI25" i="1"/>
  <c r="BI23" i="1"/>
  <c r="BI21" i="1"/>
  <c r="BI19" i="1"/>
  <c r="BI17" i="1"/>
  <c r="BI15" i="1"/>
  <c r="AS34" i="1"/>
  <c r="AS32" i="1"/>
  <c r="AS30" i="1"/>
  <c r="AS28" i="1"/>
  <c r="AS26" i="1"/>
  <c r="AS24" i="1"/>
  <c r="AS22" i="1"/>
  <c r="AS20" i="1"/>
  <c r="AS18" i="1"/>
  <c r="AS16" i="1"/>
  <c r="AS14" i="1"/>
  <c r="AW34" i="1"/>
  <c r="AW32" i="1"/>
  <c r="AW30" i="1"/>
  <c r="AW28" i="1"/>
  <c r="AW26" i="1"/>
  <c r="AW24" i="1"/>
  <c r="AW22" i="1"/>
  <c r="AW20" i="1"/>
  <c r="AW18" i="1"/>
  <c r="AW16" i="1"/>
  <c r="AW14" i="1"/>
  <c r="BA34" i="1"/>
  <c r="BA32" i="1"/>
  <c r="BA30" i="1"/>
  <c r="BA28" i="1"/>
  <c r="BA26" i="1"/>
  <c r="BA24" i="1"/>
  <c r="BA22" i="1"/>
  <c r="BA20" i="1"/>
  <c r="BA18" i="1"/>
  <c r="BA16" i="1"/>
  <c r="BA14" i="1"/>
  <c r="BE34" i="1"/>
  <c r="BE32" i="1"/>
  <c r="BE30" i="1"/>
  <c r="BE28" i="1"/>
  <c r="BE26" i="1"/>
  <c r="BE24" i="1"/>
  <c r="BE22" i="1"/>
  <c r="BE20" i="1"/>
  <c r="BE18" i="1"/>
  <c r="BE16" i="1"/>
  <c r="BE14" i="1"/>
  <c r="BI34" i="1"/>
  <c r="BI32" i="1"/>
  <c r="BI30" i="1"/>
  <c r="BI28" i="1"/>
  <c r="BI26" i="1"/>
  <c r="BI24" i="1"/>
  <c r="BI22" i="1"/>
  <c r="BI20" i="1"/>
  <c r="BI18" i="1"/>
  <c r="BI16" i="1"/>
  <c r="BI14" i="1"/>
  <c r="AT33" i="1"/>
  <c r="AT31" i="1"/>
  <c r="AT29" i="1"/>
  <c r="AT27" i="1"/>
  <c r="AT25" i="1"/>
  <c r="AT23" i="1"/>
  <c r="AT21" i="1"/>
  <c r="AT19" i="1"/>
  <c r="AT17" i="1"/>
  <c r="AT15" i="1"/>
  <c r="AX33" i="1"/>
  <c r="AX31" i="1"/>
  <c r="AX29" i="1"/>
  <c r="AX27" i="1"/>
  <c r="AX25" i="1"/>
  <c r="AX23" i="1"/>
  <c r="AX21" i="1"/>
  <c r="AX19" i="1"/>
  <c r="AX17" i="1"/>
  <c r="AX15" i="1"/>
  <c r="BF33" i="1"/>
  <c r="BF31" i="1"/>
  <c r="BF29" i="1"/>
  <c r="BF27" i="1"/>
  <c r="BF25" i="1"/>
  <c r="BF23" i="1"/>
  <c r="BF21" i="1"/>
  <c r="BF19" i="1"/>
  <c r="BF17" i="1"/>
  <c r="BF15" i="1"/>
  <c r="AT34" i="1"/>
  <c r="AT32" i="1"/>
  <c r="AT30" i="1"/>
  <c r="AT28" i="1"/>
  <c r="AT26" i="1"/>
  <c r="AT24" i="1"/>
  <c r="AT22" i="1"/>
  <c r="AT20" i="1"/>
  <c r="AT18" i="1"/>
  <c r="AT16" i="1"/>
  <c r="AT14" i="1"/>
  <c r="AX34" i="1"/>
  <c r="AX32" i="1"/>
  <c r="AX30" i="1"/>
  <c r="AX28" i="1"/>
  <c r="AX26" i="1"/>
  <c r="AX24" i="1"/>
  <c r="AX22" i="1"/>
  <c r="AX20" i="1"/>
  <c r="AX18" i="1"/>
  <c r="AX16" i="1"/>
  <c r="AX14" i="1"/>
  <c r="BF34" i="1"/>
  <c r="BF32" i="1"/>
  <c r="BF30" i="1"/>
  <c r="BF28" i="1"/>
  <c r="BF26" i="1"/>
  <c r="BF24" i="1"/>
  <c r="BF22" i="1"/>
  <c r="BF20" i="1"/>
  <c r="BF18" i="1"/>
  <c r="BF16" i="1"/>
  <c r="BF14" i="1"/>
  <c r="AU33" i="1"/>
  <c r="AU31" i="1"/>
  <c r="AU29" i="1"/>
  <c r="AU27" i="1"/>
  <c r="AU25" i="1"/>
  <c r="AU23" i="1"/>
  <c r="AU21" i="1"/>
  <c r="AU19" i="1"/>
  <c r="AU17" i="1"/>
  <c r="AU15" i="1"/>
  <c r="BC33" i="1"/>
  <c r="BC31" i="1"/>
  <c r="BC29" i="1"/>
  <c r="BC27" i="1"/>
  <c r="BC25" i="1"/>
  <c r="BC23" i="1"/>
  <c r="BC21" i="1"/>
  <c r="BC19" i="1"/>
  <c r="BC17" i="1"/>
  <c r="BC15" i="1"/>
  <c r="AQ34" i="1"/>
  <c r="AQ32" i="1"/>
  <c r="AQ30" i="1"/>
  <c r="AQ28" i="1"/>
  <c r="AQ26" i="1"/>
  <c r="AQ24" i="1"/>
  <c r="AQ22" i="1"/>
  <c r="AQ20" i="1"/>
  <c r="AQ18" i="1"/>
  <c r="AQ16" i="1"/>
  <c r="AQ14" i="1"/>
  <c r="AY34" i="1"/>
  <c r="AY32" i="1"/>
  <c r="AY30" i="1"/>
  <c r="AY28" i="1"/>
  <c r="AY26" i="1"/>
  <c r="AY24" i="1"/>
  <c r="AY22" i="1"/>
  <c r="AY20" i="1"/>
  <c r="AY18" i="1"/>
  <c r="AY16" i="1"/>
  <c r="AY14" i="1"/>
  <c r="BG34" i="1"/>
  <c r="BG32" i="1"/>
  <c r="BG30" i="1"/>
  <c r="BG28" i="1"/>
  <c r="BG26" i="1"/>
  <c r="BG24" i="1"/>
  <c r="BG22" i="1"/>
  <c r="BG20" i="1"/>
  <c r="BG18" i="1"/>
  <c r="BG16" i="1"/>
  <c r="BG14" i="1"/>
  <c r="D7" i="4"/>
  <c r="H24" i="11"/>
  <c r="E68" i="1"/>
  <c r="D2" i="4"/>
  <c r="C70" i="1"/>
  <c r="D11" i="1"/>
  <c r="S9" i="11"/>
  <c r="S7" i="11"/>
  <c r="S13" i="11"/>
  <c r="S16" i="11"/>
  <c r="S24" i="11"/>
  <c r="G7" i="11"/>
  <c r="G13" i="11"/>
  <c r="G24" i="11"/>
  <c r="D68" i="1"/>
  <c r="F25" i="11"/>
  <c r="AN31" i="1"/>
  <c r="K14" i="3"/>
  <c r="D70" i="1"/>
  <c r="E11" i="1"/>
  <c r="E70" i="1"/>
  <c r="F11" i="1"/>
  <c r="F70" i="1"/>
  <c r="G11" i="1"/>
  <c r="BF68" i="1"/>
  <c r="G25" i="11"/>
  <c r="H25" i="11"/>
  <c r="BE68" i="1"/>
  <c r="BG68" i="1"/>
  <c r="AV68" i="1"/>
  <c r="AZ68" i="1"/>
  <c r="AR68" i="1"/>
  <c r="BI68" i="1"/>
  <c r="BA68" i="1"/>
  <c r="BB68" i="1"/>
  <c r="BC68" i="1"/>
  <c r="BJ68" i="1"/>
  <c r="T9" i="11"/>
  <c r="W34" i="1"/>
  <c r="W68" i="1"/>
  <c r="AI34" i="1"/>
  <c r="AI68" i="1"/>
  <c r="T34" i="1"/>
  <c r="T68" i="1"/>
  <c r="AN24" i="1"/>
  <c r="AO31" i="1"/>
  <c r="AL31" i="1"/>
  <c r="AP31" i="1"/>
  <c r="AM31" i="1"/>
  <c r="AP24" i="1"/>
  <c r="AM24" i="1"/>
  <c r="AO24" i="1"/>
  <c r="AL24" i="1"/>
  <c r="AD34" i="1"/>
  <c r="AD68" i="1"/>
  <c r="P34" i="1"/>
  <c r="P68" i="1"/>
  <c r="Z34" i="1"/>
  <c r="Z68" i="1"/>
  <c r="AW68" i="1"/>
  <c r="AS68" i="1"/>
  <c r="AC34" i="1"/>
  <c r="AC68" i="1"/>
  <c r="AY68" i="1"/>
  <c r="AT68" i="1"/>
  <c r="AJ34" i="1"/>
  <c r="AJ68" i="1"/>
  <c r="BH68" i="1"/>
  <c r="D3" i="4"/>
  <c r="BD68" i="1"/>
  <c r="S68" i="1"/>
  <c r="I34" i="1"/>
  <c r="I68" i="1"/>
  <c r="J34" i="1"/>
  <c r="J68" i="1"/>
  <c r="X34" i="1"/>
  <c r="X68" i="1"/>
  <c r="AN33" i="1"/>
  <c r="AN34" i="1"/>
  <c r="AN68" i="1"/>
  <c r="Q14" i="11"/>
  <c r="AB34" i="1"/>
  <c r="AB68" i="1"/>
  <c r="L34" i="1"/>
  <c r="L68" i="1"/>
  <c r="AP33" i="1"/>
  <c r="AP34" i="1"/>
  <c r="AP68" i="1"/>
  <c r="Q34" i="1"/>
  <c r="Q68" i="1"/>
  <c r="R34" i="1"/>
  <c r="R68" i="1"/>
  <c r="AM33" i="1"/>
  <c r="AM34" i="1"/>
  <c r="AM68" i="1"/>
  <c r="AH34" i="1"/>
  <c r="AH68" i="1"/>
  <c r="U34" i="1"/>
  <c r="U68" i="1"/>
  <c r="AL33" i="1"/>
  <c r="AL34" i="1"/>
  <c r="AL68" i="1"/>
  <c r="Y34" i="1"/>
  <c r="Y68" i="1"/>
  <c r="AO33" i="1"/>
  <c r="AO34" i="1"/>
  <c r="AO68" i="1"/>
  <c r="AK34" i="1"/>
  <c r="AK68" i="1"/>
  <c r="AE34" i="1"/>
  <c r="AE68" i="1"/>
  <c r="T5" i="11"/>
  <c r="D5" i="4"/>
  <c r="AU68" i="1"/>
  <c r="AQ68" i="1"/>
  <c r="AX68" i="1"/>
  <c r="AG34" i="1"/>
  <c r="AG68" i="1"/>
  <c r="AF34" i="1"/>
  <c r="AF68" i="1"/>
  <c r="V34" i="1"/>
  <c r="V68" i="1"/>
  <c r="N34" i="1"/>
  <c r="N68" i="1"/>
  <c r="O34" i="1"/>
  <c r="O68" i="1"/>
  <c r="G34" i="1"/>
  <c r="G68" i="1"/>
  <c r="G70" i="1"/>
  <c r="H11" i="1"/>
  <c r="H34" i="1"/>
  <c r="H68" i="1"/>
  <c r="J14" i="11"/>
  <c r="L14" i="11"/>
  <c r="M34" i="1"/>
  <c r="M68" i="1"/>
  <c r="AA34" i="1"/>
  <c r="AA68" i="1"/>
  <c r="V13" i="11"/>
  <c r="K34" i="1"/>
  <c r="K68" i="1"/>
  <c r="D4" i="4"/>
  <c r="D8" i="4"/>
  <c r="P14" i="11"/>
  <c r="T15" i="11"/>
  <c r="U14" i="11"/>
  <c r="H70" i="1"/>
  <c r="I11" i="1"/>
  <c r="I70" i="1"/>
  <c r="K14" i="11"/>
  <c r="T13" i="11"/>
  <c r="T14" i="11"/>
  <c r="V16" i="11"/>
  <c r="V24" i="11"/>
  <c r="V14" i="11"/>
  <c r="N14" i="11"/>
  <c r="J11" i="1"/>
  <c r="J70" i="1"/>
  <c r="K11" i="1"/>
  <c r="K70" i="1"/>
  <c r="L11" i="1"/>
  <c r="L70" i="1"/>
  <c r="M11" i="1"/>
  <c r="M70" i="1"/>
  <c r="N11" i="1"/>
  <c r="N70" i="1"/>
  <c r="O11" i="1"/>
  <c r="O70" i="1"/>
  <c r="P11" i="1"/>
  <c r="P70" i="1"/>
  <c r="Q11" i="1"/>
  <c r="Q70" i="1"/>
  <c r="R11" i="1"/>
  <c r="R70" i="1"/>
  <c r="D11" i="4"/>
  <c r="M14" i="11"/>
  <c r="O14" i="11"/>
  <c r="I25" i="11"/>
  <c r="J25" i="11"/>
  <c r="K25" i="11"/>
  <c r="L25" i="11"/>
  <c r="S11" i="1"/>
  <c r="S70" i="1"/>
  <c r="T11" i="1"/>
  <c r="T70" i="1"/>
  <c r="U11" i="1"/>
  <c r="U70" i="1"/>
  <c r="V11" i="1"/>
  <c r="V70" i="1"/>
  <c r="W11" i="1"/>
  <c r="W70" i="1"/>
  <c r="X11" i="1"/>
  <c r="X70" i="1"/>
  <c r="Y11" i="1"/>
  <c r="Y70" i="1"/>
  <c r="Z11" i="1"/>
  <c r="Z70" i="1"/>
  <c r="AA11" i="1"/>
  <c r="AA70" i="1"/>
  <c r="AB11" i="1"/>
  <c r="AB70" i="1"/>
  <c r="AC11" i="1"/>
  <c r="AC70" i="1"/>
  <c r="AD11" i="1"/>
  <c r="AD70" i="1"/>
  <c r="AE11" i="1"/>
  <c r="AE70" i="1"/>
  <c r="AF11" i="1"/>
  <c r="AF70" i="1"/>
  <c r="AG11" i="1"/>
  <c r="AG70" i="1"/>
  <c r="AH11" i="1"/>
  <c r="AH70" i="1"/>
  <c r="AI11" i="1"/>
  <c r="AI70" i="1"/>
  <c r="AJ11" i="1"/>
  <c r="AJ70" i="1"/>
  <c r="AK11" i="1"/>
  <c r="AK70" i="1"/>
  <c r="AL11" i="1"/>
  <c r="AL70" i="1"/>
  <c r="AM11" i="1"/>
  <c r="AM70" i="1"/>
  <c r="AN11" i="1"/>
  <c r="AN70" i="1"/>
  <c r="AO11" i="1"/>
  <c r="AO70" i="1"/>
  <c r="AP11" i="1"/>
  <c r="AP70" i="1"/>
  <c r="AQ11" i="1"/>
  <c r="AQ70" i="1"/>
  <c r="AR11" i="1"/>
  <c r="AR70" i="1"/>
  <c r="AS11" i="1"/>
  <c r="AS70" i="1"/>
  <c r="AT11" i="1"/>
  <c r="AT70" i="1"/>
  <c r="AU11" i="1"/>
  <c r="AU70" i="1"/>
  <c r="AV11" i="1"/>
  <c r="AV70" i="1"/>
  <c r="AW11" i="1"/>
  <c r="AW70" i="1"/>
  <c r="AX11" i="1"/>
  <c r="AX70" i="1"/>
  <c r="AY11" i="1"/>
  <c r="AY70" i="1"/>
  <c r="AZ11" i="1"/>
  <c r="AZ70" i="1"/>
  <c r="BA11" i="1"/>
  <c r="BA70" i="1"/>
  <c r="BB11" i="1"/>
  <c r="BB70" i="1"/>
  <c r="BC11" i="1"/>
  <c r="BC70" i="1"/>
  <c r="BD11" i="1"/>
  <c r="BD70" i="1"/>
  <c r="BE11" i="1"/>
  <c r="BE70" i="1"/>
  <c r="BF11" i="1"/>
  <c r="BF70" i="1"/>
  <c r="BG11" i="1"/>
  <c r="BG70" i="1"/>
  <c r="BH11" i="1"/>
  <c r="BH70" i="1"/>
  <c r="BI11" i="1"/>
  <c r="BI70" i="1"/>
  <c r="BJ11" i="1"/>
  <c r="BJ70" i="1"/>
  <c r="D12" i="4"/>
  <c r="M25" i="11"/>
  <c r="N25" i="11"/>
  <c r="O25" i="11"/>
  <c r="P25" i="11"/>
  <c r="Q25" i="11"/>
  <c r="T25" i="11"/>
  <c r="U25" i="11"/>
  <c r="V25" i="11"/>
  <c r="T16" i="11"/>
</calcChain>
</file>

<file path=xl/sharedStrings.xml><?xml version="1.0" encoding="utf-8"?>
<sst xmlns="http://schemas.openxmlformats.org/spreadsheetml/2006/main" count="170" uniqueCount="155">
  <si>
    <t>Максимальная загрузка одного квеста в месяц:</t>
  </si>
  <si>
    <t>Ведомость сотрудников:</t>
  </si>
  <si>
    <t>Сотрудник</t>
  </si>
  <si>
    <t>Факт</t>
  </si>
  <si>
    <t>Кол-во</t>
  </si>
  <si>
    <t>ЗП юр.форма</t>
  </si>
  <si>
    <t>ЗП факт</t>
  </si>
  <si>
    <t>Комментарии</t>
  </si>
  <si>
    <t>Итого всего:</t>
  </si>
  <si>
    <t>Месяц :</t>
  </si>
  <si>
    <t>Услуги связи (интернет,телефоны и др.)</t>
  </si>
  <si>
    <t>Инвестиции</t>
  </si>
  <si>
    <t>Выручка за 12 мес.</t>
  </si>
  <si>
    <t>Денежные ср-ва на начало</t>
  </si>
  <si>
    <t>Расходы за 12 мес.</t>
  </si>
  <si>
    <t>из них аренда+ЗП за 12 мес.</t>
  </si>
  <si>
    <t>Разница за 12 мес.</t>
  </si>
  <si>
    <t>Поступление ликвидных средств от основной деятельности</t>
  </si>
  <si>
    <t>Итого поступлений средств по бизнесу</t>
  </si>
  <si>
    <t>Затраты</t>
  </si>
  <si>
    <t>ФОТ (фактический)</t>
  </si>
  <si>
    <t>Аренда (+коммуналка)</t>
  </si>
  <si>
    <t>Итого затрат</t>
  </si>
  <si>
    <t>Итого ликвидных средств по бизнесу</t>
  </si>
  <si>
    <t>Cash Flow ОС</t>
  </si>
  <si>
    <t>Продажа осн. Средств</t>
  </si>
  <si>
    <t>Кап. Вложения</t>
  </si>
  <si>
    <t>Итого Cash Flow ОС</t>
  </si>
  <si>
    <t>Cash Flow финансирования</t>
  </si>
  <si>
    <t>Поступление кредита 1</t>
  </si>
  <si>
    <t>Поступление кредита 2</t>
  </si>
  <si>
    <t>Поступление кредита 3</t>
  </si>
  <si>
    <t>Дополнителные вложения собственников</t>
  </si>
  <si>
    <t>(-) Выплаты по кредиту 1</t>
  </si>
  <si>
    <t>(-) Проценты по кредиту 2</t>
  </si>
  <si>
    <t>(-) Выплаты по кредиту 3</t>
  </si>
  <si>
    <t>(-) Проценты по кредиту 1</t>
  </si>
  <si>
    <t>(-) Выплаты по кредиту 2</t>
  </si>
  <si>
    <t>(-) Проценты по кредиту 3</t>
  </si>
  <si>
    <t>(-) Дивиденды учредителям</t>
  </si>
  <si>
    <t>Итого Cash flow финансирования</t>
  </si>
  <si>
    <t>Cash Flow проекта</t>
  </si>
  <si>
    <t>Итого поступлений</t>
  </si>
  <si>
    <t>Текущие затраты по проекту</t>
  </si>
  <si>
    <t>Итого текущих затрат по проекту</t>
  </si>
  <si>
    <t>Итого Cash flow проекта</t>
  </si>
  <si>
    <t>Итого Cash Flow месяца</t>
  </si>
  <si>
    <t>Денежные ср-ва на конец</t>
  </si>
  <si>
    <t>ФИО</t>
  </si>
  <si>
    <t>на р\с за первый год</t>
  </si>
  <si>
    <t>Для расчетов</t>
  </si>
  <si>
    <t>Цена без НДС</t>
  </si>
  <si>
    <t>Цена с НДС</t>
  </si>
  <si>
    <t>Аренда (кв.м. в год)</t>
  </si>
  <si>
    <t>Сервисный сбор (кв. м. в год)</t>
  </si>
  <si>
    <t>Маркетинговый платеж (кв.м. в год)</t>
  </si>
  <si>
    <t>Торжественное открытие (кв.м разово)</t>
  </si>
  <si>
    <t>Надзор за работами арендатора (кв. м. разово)</t>
  </si>
  <si>
    <t>Оплата при заключении договора</t>
  </si>
  <si>
    <t xml:space="preserve"> площадь на 4-5 квестов                                                                                                м2</t>
  </si>
  <si>
    <t>Сервисный сбор</t>
  </si>
  <si>
    <t>Маркетинговый платеж</t>
  </si>
  <si>
    <t>Торжественное открытие</t>
  </si>
  <si>
    <t>Страховой депозит (1\6 часть минимальной годовой арендной платы, кв.м разово)</t>
  </si>
  <si>
    <t>Надзор за работами арендатора</t>
  </si>
  <si>
    <t>Сумма</t>
  </si>
  <si>
    <t>Итоговая сумма с учетом общей зоны</t>
  </si>
  <si>
    <t>Оплата следующих месяцев</t>
  </si>
  <si>
    <t>Аренда</t>
  </si>
  <si>
    <t>на р\с за 5 лет</t>
  </si>
  <si>
    <t>Накопленная сумма:</t>
  </si>
  <si>
    <t>Формула кол-ва посетителей</t>
  </si>
  <si>
    <t>Календарные выходные</t>
  </si>
  <si>
    <t>Календарные будни</t>
  </si>
  <si>
    <t>Кол-во сеансов в выходной день:</t>
  </si>
  <si>
    <t>Кол-во сеансов в будний день:</t>
  </si>
  <si>
    <t>Кол-во сеансов в мес</t>
  </si>
  <si>
    <t>Итого сеансов месяц</t>
  </si>
  <si>
    <t>Загрузка расчетная (%)</t>
  </si>
  <si>
    <t>Возможное увеличение выручки</t>
  </si>
  <si>
    <t>Пример загрузки Существующего квеста (%)</t>
  </si>
  <si>
    <t>Дивиденды(накопитеьный)</t>
  </si>
  <si>
    <t xml:space="preserve">Проект </t>
  </si>
  <si>
    <t>Кол-во квестов</t>
  </si>
  <si>
    <t>Итого выручка:</t>
  </si>
  <si>
    <t>Корридорный коэф</t>
  </si>
  <si>
    <t>Необходимая площадь</t>
  </si>
  <si>
    <t>Ремонт</t>
  </si>
  <si>
    <t>Оборудование</t>
  </si>
  <si>
    <t>Итого:</t>
  </si>
  <si>
    <t>Депозит аренда</t>
  </si>
  <si>
    <t>Реклама</t>
  </si>
  <si>
    <t>Базовые параметры</t>
  </si>
  <si>
    <t>Revenue</t>
  </si>
  <si>
    <t>OpEx</t>
  </si>
  <si>
    <t>Oper Profit</t>
  </si>
  <si>
    <t>Investments</t>
  </si>
  <si>
    <t>Net Profit</t>
  </si>
  <si>
    <t>Personnel</t>
  </si>
  <si>
    <t>Rental</t>
  </si>
  <si>
    <t>Other</t>
  </si>
  <si>
    <t>Lump sum</t>
  </si>
  <si>
    <t>Equipment</t>
  </si>
  <si>
    <t>Renovation</t>
  </si>
  <si>
    <t>FCF</t>
  </si>
  <si>
    <t>FCF cum</t>
  </si>
  <si>
    <t>Year 1</t>
  </si>
  <si>
    <t>Pre-opening</t>
  </si>
  <si>
    <t>Year 2</t>
  </si>
  <si>
    <t>Year 3</t>
  </si>
  <si>
    <t>Margin</t>
  </si>
  <si>
    <t>Работы по договору</t>
  </si>
  <si>
    <t>51 неделя*2+8 дней</t>
  </si>
  <si>
    <t>110 (календарных выходных в 2016 году) / 12 (месяцев) = 9,16 (среднеарифметическое значение)</t>
  </si>
  <si>
    <t>366-110=256 (календарных будний в 2016 году) / 12 (месяцев) = 21,33 (среднеарифметическое значение)</t>
  </si>
  <si>
    <t>Advertising</t>
  </si>
  <si>
    <t>Аванс (2 месяца)</t>
  </si>
  <si>
    <t>Ремонт 1 кв.м. (руб)</t>
  </si>
  <si>
    <t>RUR</t>
  </si>
  <si>
    <t xml:space="preserve"> площадь на квест                                                                                               м2</t>
  </si>
  <si>
    <t>Сеанс/RUR</t>
  </si>
  <si>
    <t>Выручка выходные</t>
  </si>
  <si>
    <t>Выручка будни</t>
  </si>
  <si>
    <t>Расходы на закупку оборудования</t>
  </si>
  <si>
    <t>из них роялти  за 12 мес.</t>
  </si>
  <si>
    <t>Основные затраты на квест</t>
  </si>
  <si>
    <t>Оплата паушального платежа</t>
  </si>
  <si>
    <r>
      <t>Расходы на стройку/ремонт помещения 1</t>
    </r>
    <r>
      <rPr>
        <sz val="12"/>
        <color rgb="FFFF0000"/>
        <rFont val="Times New Roman"/>
        <family val="1"/>
        <charset val="204"/>
      </rPr>
      <t>%</t>
    </r>
  </si>
  <si>
    <r>
      <t>Расходы содержание офиса</t>
    </r>
    <r>
      <rPr>
        <sz val="12"/>
        <color rgb="FFFF0000"/>
        <rFont val="Times New Roman"/>
        <family val="1"/>
        <charset val="204"/>
      </rPr>
      <t xml:space="preserve"> 1%</t>
    </r>
  </si>
  <si>
    <t>Кол-во проектов</t>
  </si>
  <si>
    <t>Площадь на 1 проект (кв.м.)</t>
  </si>
  <si>
    <t>SMM</t>
  </si>
  <si>
    <t>контекстник</t>
  </si>
  <si>
    <t>актер главная роль</t>
  </si>
  <si>
    <t>актеры второстепенные</t>
  </si>
  <si>
    <t>операторы/администраторы</t>
  </si>
  <si>
    <t>инженер</t>
  </si>
  <si>
    <t>контент-менеджер</t>
  </si>
  <si>
    <t>коллцентр</t>
  </si>
  <si>
    <t>управляющий локацией</t>
  </si>
  <si>
    <t>подряд</t>
  </si>
  <si>
    <r>
      <t xml:space="preserve">Итого прочие расходы </t>
    </r>
    <r>
      <rPr>
        <sz val="12"/>
        <color rgb="FFFF0000"/>
        <rFont val="Times New Roman"/>
        <family val="1"/>
        <charset val="204"/>
      </rPr>
      <t>(0,5%)</t>
    </r>
  </si>
  <si>
    <t>один экшн</t>
  </si>
  <si>
    <t>Выручка c проекта</t>
  </si>
  <si>
    <t>Налоги ПФР и ФСС (30%)</t>
  </si>
  <si>
    <t>Налоги УСН (6%)</t>
  </si>
  <si>
    <t>Marketing/Royalty</t>
  </si>
  <si>
    <t>Income tax (ПФР+УСН)</t>
  </si>
  <si>
    <t>Оборудование и запуск проекта</t>
  </si>
  <si>
    <t>Проект</t>
  </si>
  <si>
    <t>тд</t>
  </si>
  <si>
    <r>
      <t xml:space="preserve">Расходы на рекламу </t>
    </r>
    <r>
      <rPr>
        <sz val="12"/>
        <color rgb="FFFF0000"/>
        <rFont val="Times New Roman"/>
        <family val="1"/>
        <charset val="204"/>
      </rPr>
      <t>(15%)</t>
    </r>
  </si>
  <si>
    <r>
      <t xml:space="preserve">Расходы на ремонт оборудования  и докупки </t>
    </r>
    <r>
      <rPr>
        <sz val="12"/>
        <color rgb="FFFF0000"/>
        <rFont val="Times New Roman"/>
        <family val="1"/>
        <charset val="204"/>
      </rPr>
      <t>(0%)</t>
    </r>
  </si>
  <si>
    <t>Выручка с проекта в мес</t>
  </si>
  <si>
    <t>Расходы на договор (паушальный платеж)/ роялти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</si>
</sst>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\ &quot;р.&quot;"/>
    <numFmt numFmtId="167" formatCode="0.0000"/>
    <numFmt numFmtId="168" formatCode="mmm\ yy"/>
    <numFmt numFmtId="169" formatCode="#,##0.0\ _₽"/>
    <numFmt numFmtId="170" formatCode="_-[$$-409]* #,##0.00_ ;_-[$$-409]* \-#,##0.00\ ;_-[$$-409]* &quot;-&quot;??_ ;_-@_ "/>
    <numFmt numFmtId="171" formatCode="_-* #,##0\ &quot;₽&quot;_-;\-* #,##0\ &quot;₽&quot;_-;_-* &quot;-&quot;??\ &quot;₽&quot;_-;_-@_-"/>
    <numFmt numFmtId="172" formatCode="[$€-2]\ #,##0"/>
    <numFmt numFmtId="173" formatCode="_-* #,##0_р_._-;\-* #,##0_р_._-;_-* &quot;-&quot;??_р_._-;_-@_-"/>
    <numFmt numFmtId="174" formatCode="#,##0.00\ &quot;₽&quot;"/>
    <numFmt numFmtId="175" formatCode="#,##0\ &quot;₽&quot;"/>
  </numFmts>
  <fonts count="23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5" tint="0.39997558519241921"/>
      <name val="Times New Roman"/>
      <family val="1"/>
      <charset val="204"/>
    </font>
    <font>
      <i/>
      <sz val="12"/>
      <color rgb="FF7030A0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0"/>
      <color rgb="FFFF0000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E3E3E3"/>
        <bgColor rgb="FFE3E3E3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E5B8B7"/>
        <bgColor rgb="FFE5B8B7"/>
      </patternFill>
    </fill>
    <fill>
      <patternFill patternType="solid">
        <fgColor rgb="FF92D050"/>
        <bgColor rgb="FFFFFF00"/>
      </patternFill>
    </fill>
    <fill>
      <patternFill patternType="solid">
        <fgColor theme="4" tint="0.39997558519241921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rgb="FFE3E3E3"/>
      </patternFill>
    </fill>
    <fill>
      <patternFill patternType="solid">
        <fgColor theme="4" tint="0.59999389629810485"/>
        <bgColor rgb="FF8DB3E2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E3E3E3"/>
      </patternFill>
    </fill>
    <fill>
      <patternFill patternType="solid">
        <fgColor rgb="FFFFFF00"/>
        <bgColor rgb="FFCCFFCC"/>
      </patternFill>
    </fill>
    <fill>
      <patternFill patternType="solid">
        <fgColor rgb="FFFFFF00"/>
        <bgColor rgb="FFD8D8D8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4">
    <xf numFmtId="0" fontId="0" fillId="0" borderId="0"/>
    <xf numFmtId="0" fontId="1" fillId="0" borderId="1"/>
    <xf numFmtId="44" fontId="1" fillId="0" borderId="1" applyFont="0" applyFill="0" applyBorder="0" applyAlignment="0" applyProtection="0"/>
    <xf numFmtId="9" fontId="16" fillId="0" borderId="0" applyFont="0" applyFill="0" applyBorder="0" applyAlignment="0" applyProtection="0"/>
  </cellStyleXfs>
  <cellXfs count="369">
    <xf numFmtId="0" fontId="0" fillId="0" borderId="0" xfId="0"/>
    <xf numFmtId="0" fontId="3" fillId="0" borderId="41" xfId="1" applyFont="1" applyFill="1" applyBorder="1"/>
    <xf numFmtId="171" fontId="3" fillId="0" borderId="1" xfId="2" applyNumberFormat="1" applyFont="1" applyFill="1" applyBorder="1"/>
    <xf numFmtId="0" fontId="1" fillId="0" borderId="1" xfId="1" applyFill="1"/>
    <xf numFmtId="0" fontId="5" fillId="0" borderId="1" xfId="0" applyFont="1" applyBorder="1"/>
    <xf numFmtId="0" fontId="4" fillId="0" borderId="1" xfId="0" applyFont="1" applyBorder="1"/>
    <xf numFmtId="14" fontId="4" fillId="0" borderId="1" xfId="0" applyNumberFormat="1" applyFont="1" applyFill="1" applyBorder="1"/>
    <xf numFmtId="0" fontId="5" fillId="0" borderId="1" xfId="0" applyFont="1" applyFill="1" applyBorder="1"/>
    <xf numFmtId="0" fontId="4" fillId="0" borderId="1" xfId="0" applyFont="1" applyFill="1" applyBorder="1"/>
    <xf numFmtId="0" fontId="4" fillId="0" borderId="0" xfId="0" applyFont="1"/>
    <xf numFmtId="0" fontId="4" fillId="0" borderId="0" xfId="0" applyFont="1" applyFill="1"/>
    <xf numFmtId="0" fontId="4" fillId="0" borderId="1" xfId="0" applyFont="1" applyBorder="1" applyAlignment="1">
      <alignment horizontal="center"/>
    </xf>
    <xf numFmtId="2" fontId="4" fillId="0" borderId="1" xfId="0" applyNumberFormat="1" applyFont="1" applyFill="1" applyBorder="1"/>
    <xf numFmtId="169" fontId="5" fillId="0" borderId="1" xfId="0" applyNumberFormat="1" applyFont="1" applyBorder="1"/>
    <xf numFmtId="0" fontId="4" fillId="12" borderId="2" xfId="0" applyFont="1" applyFill="1" applyBorder="1"/>
    <xf numFmtId="169" fontId="4" fillId="12" borderId="2" xfId="0" applyNumberFormat="1" applyFont="1" applyFill="1" applyBorder="1"/>
    <xf numFmtId="169" fontId="4" fillId="0" borderId="1" xfId="0" applyNumberFormat="1" applyFont="1" applyBorder="1"/>
    <xf numFmtId="169" fontId="4" fillId="5" borderId="36" xfId="0" applyNumberFormat="1" applyFont="1" applyFill="1" applyBorder="1"/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/>
    <xf numFmtId="1" fontId="4" fillId="0" borderId="50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left"/>
    </xf>
    <xf numFmtId="1" fontId="7" fillId="3" borderId="3" xfId="0" applyNumberFormat="1" applyFont="1" applyFill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right"/>
    </xf>
    <xf numFmtId="168" fontId="9" fillId="3" borderId="6" xfId="0" applyNumberFormat="1" applyFont="1" applyFill="1" applyBorder="1"/>
    <xf numFmtId="1" fontId="4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right"/>
    </xf>
    <xf numFmtId="168" fontId="6" fillId="3" borderId="1" xfId="0" applyNumberFormat="1" applyFont="1" applyFill="1" applyBorder="1"/>
    <xf numFmtId="168" fontId="6" fillId="0" borderId="7" xfId="0" applyNumberFormat="1" applyFont="1" applyBorder="1"/>
    <xf numFmtId="168" fontId="6" fillId="0" borderId="1" xfId="0" applyNumberFormat="1" applyFont="1" applyBorder="1"/>
    <xf numFmtId="1" fontId="5" fillId="4" borderId="8" xfId="0" applyNumberFormat="1" applyFont="1" applyFill="1" applyBorder="1" applyAlignment="1">
      <alignment horizontal="left"/>
    </xf>
    <xf numFmtId="3" fontId="4" fillId="5" borderId="9" xfId="0" applyNumberFormat="1" applyFont="1" applyFill="1" applyBorder="1"/>
    <xf numFmtId="3" fontId="4" fillId="4" borderId="9" xfId="0" applyNumberFormat="1" applyFont="1" applyFill="1" applyBorder="1"/>
    <xf numFmtId="3" fontId="4" fillId="4" borderId="10" xfId="0" applyNumberFormat="1" applyFont="1" applyFill="1" applyBorder="1"/>
    <xf numFmtId="3" fontId="4" fillId="4" borderId="11" xfId="0" applyNumberFormat="1" applyFont="1" applyFill="1" applyBorder="1"/>
    <xf numFmtId="1" fontId="5" fillId="3" borderId="1" xfId="0" applyNumberFormat="1" applyFont="1" applyFill="1" applyBorder="1" applyAlignment="1">
      <alignment horizontal="left"/>
    </xf>
    <xf numFmtId="3" fontId="4" fillId="3" borderId="1" xfId="0" applyNumberFormat="1" applyFont="1" applyFill="1" applyBorder="1"/>
    <xf numFmtId="3" fontId="4" fillId="3" borderId="7" xfId="0" applyNumberFormat="1" applyFont="1" applyFill="1" applyBorder="1"/>
    <xf numFmtId="3" fontId="4" fillId="0" borderId="1" xfId="0" applyNumberFormat="1" applyFont="1" applyBorder="1"/>
    <xf numFmtId="1" fontId="6" fillId="4" borderId="43" xfId="0" applyNumberFormat="1" applyFont="1" applyFill="1" applyBorder="1" applyAlignment="1">
      <alignment horizontal="left"/>
    </xf>
    <xf numFmtId="3" fontId="4" fillId="4" borderId="44" xfId="0" applyNumberFormat="1" applyFont="1" applyFill="1" applyBorder="1"/>
    <xf numFmtId="3" fontId="7" fillId="4" borderId="44" xfId="0" applyNumberFormat="1" applyFont="1" applyFill="1" applyBorder="1" applyAlignment="1">
      <alignment horizontal="left"/>
    </xf>
    <xf numFmtId="3" fontId="7" fillId="4" borderId="44" xfId="0" applyNumberFormat="1" applyFont="1" applyFill="1" applyBorder="1"/>
    <xf numFmtId="3" fontId="7" fillId="4" borderId="44" xfId="0" applyNumberFormat="1" applyFont="1" applyFill="1" applyBorder="1" applyAlignment="1">
      <alignment horizontal="center" vertical="center"/>
    </xf>
    <xf numFmtId="3" fontId="4" fillId="4" borderId="45" xfId="0" applyNumberFormat="1" applyFont="1" applyFill="1" applyBorder="1"/>
    <xf numFmtId="1" fontId="4" fillId="6" borderId="35" xfId="0" applyNumberFormat="1" applyFont="1" applyFill="1" applyBorder="1" applyAlignment="1">
      <alignment horizontal="left" wrapText="1"/>
    </xf>
    <xf numFmtId="3" fontId="4" fillId="7" borderId="36" xfId="0" applyNumberFormat="1" applyFont="1" applyFill="1" applyBorder="1"/>
    <xf numFmtId="3" fontId="4" fillId="6" borderId="36" xfId="0" applyNumberFormat="1" applyFont="1" applyFill="1" applyBorder="1"/>
    <xf numFmtId="3" fontId="4" fillId="6" borderId="37" xfId="0" applyNumberFormat="1" applyFont="1" applyFill="1" applyBorder="1"/>
    <xf numFmtId="9" fontId="7" fillId="0" borderId="1" xfId="0" applyNumberFormat="1" applyFont="1" applyFill="1" applyBorder="1" applyAlignment="1">
      <alignment horizontal="center"/>
    </xf>
    <xf numFmtId="1" fontId="7" fillId="6" borderId="35" xfId="0" applyNumberFormat="1" applyFont="1" applyFill="1" applyBorder="1" applyAlignment="1">
      <alignment horizontal="left" wrapText="1"/>
    </xf>
    <xf numFmtId="9" fontId="7" fillId="13" borderId="36" xfId="0" applyNumberFormat="1" applyFont="1" applyFill="1" applyBorder="1"/>
    <xf numFmtId="9" fontId="10" fillId="0" borderId="1" xfId="0" applyNumberFormat="1" applyFont="1" applyFill="1" applyBorder="1" applyAlignment="1">
      <alignment horizontal="center"/>
    </xf>
    <xf numFmtId="1" fontId="10" fillId="6" borderId="35" xfId="0" applyNumberFormat="1" applyFont="1" applyFill="1" applyBorder="1" applyAlignment="1">
      <alignment horizontal="left" wrapText="1"/>
    </xf>
    <xf numFmtId="3" fontId="10" fillId="7" borderId="36" xfId="0" applyNumberFormat="1" applyFont="1" applyFill="1" applyBorder="1"/>
    <xf numFmtId="9" fontId="10" fillId="13" borderId="36" xfId="0" applyNumberFormat="1" applyFont="1" applyFill="1" applyBorder="1"/>
    <xf numFmtId="1" fontId="6" fillId="2" borderId="54" xfId="0" applyNumberFormat="1" applyFont="1" applyFill="1" applyBorder="1" applyAlignment="1">
      <alignment horizontal="left"/>
    </xf>
    <xf numFmtId="3" fontId="4" fillId="7" borderId="55" xfId="0" applyNumberFormat="1" applyFont="1" applyFill="1" applyBorder="1"/>
    <xf numFmtId="3" fontId="6" fillId="4" borderId="55" xfId="0" applyNumberFormat="1" applyFont="1" applyFill="1" applyBorder="1"/>
    <xf numFmtId="3" fontId="6" fillId="11" borderId="55" xfId="0" applyNumberFormat="1" applyFont="1" applyFill="1" applyBorder="1"/>
    <xf numFmtId="1" fontId="6" fillId="0" borderId="53" xfId="0" applyNumberFormat="1" applyFont="1" applyFill="1" applyBorder="1" applyAlignment="1">
      <alignment horizontal="left"/>
    </xf>
    <xf numFmtId="3" fontId="4" fillId="7" borderId="46" xfId="0" applyNumberFormat="1" applyFont="1" applyFill="1" applyBorder="1"/>
    <xf numFmtId="3" fontId="11" fillId="14" borderId="46" xfId="0" applyNumberFormat="1" applyFont="1" applyFill="1" applyBorder="1"/>
    <xf numFmtId="1" fontId="6" fillId="4" borderId="35" xfId="0" applyNumberFormat="1" applyFont="1" applyFill="1" applyBorder="1" applyAlignment="1">
      <alignment horizontal="left"/>
    </xf>
    <xf numFmtId="3" fontId="4" fillId="4" borderId="36" xfId="0" applyNumberFormat="1" applyFont="1" applyFill="1" applyBorder="1"/>
    <xf numFmtId="1" fontId="7" fillId="0" borderId="1" xfId="0" applyNumberFormat="1" applyFont="1" applyFill="1" applyBorder="1" applyAlignment="1">
      <alignment horizontal="center"/>
    </xf>
    <xf numFmtId="1" fontId="4" fillId="6" borderId="35" xfId="0" applyNumberFormat="1" applyFont="1" applyFill="1" applyBorder="1"/>
    <xf numFmtId="1" fontId="4" fillId="6" borderId="35" xfId="0" applyNumberFormat="1" applyFont="1" applyFill="1" applyBorder="1" applyAlignment="1">
      <alignment horizontal="left"/>
    </xf>
    <xf numFmtId="3" fontId="4" fillId="9" borderId="36" xfId="0" applyNumberFormat="1" applyFont="1" applyFill="1" applyBorder="1"/>
    <xf numFmtId="1" fontId="5" fillId="0" borderId="1" xfId="0" applyNumberFormat="1" applyFont="1" applyFill="1" applyBorder="1" applyAlignment="1">
      <alignment horizontal="center"/>
    </xf>
    <xf numFmtId="1" fontId="12" fillId="4" borderId="38" xfId="0" applyNumberFormat="1" applyFont="1" applyFill="1" applyBorder="1" applyAlignment="1">
      <alignment horizontal="left"/>
    </xf>
    <xf numFmtId="3" fontId="5" fillId="4" borderId="39" xfId="0" applyNumberFormat="1" applyFont="1" applyFill="1" applyBorder="1"/>
    <xf numFmtId="3" fontId="5" fillId="4" borderId="40" xfId="0" applyNumberFormat="1" applyFont="1" applyFill="1" applyBorder="1"/>
    <xf numFmtId="1" fontId="4" fillId="0" borderId="25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left"/>
    </xf>
    <xf numFmtId="3" fontId="5" fillId="3" borderId="1" xfId="0" applyNumberFormat="1" applyFont="1" applyFill="1" applyBorder="1"/>
    <xf numFmtId="3" fontId="5" fillId="3" borderId="7" xfId="0" applyNumberFormat="1" applyFont="1" applyFill="1" applyBorder="1"/>
    <xf numFmtId="3" fontId="4" fillId="5" borderId="1" xfId="0" applyNumberFormat="1" applyFont="1" applyFill="1" applyBorder="1"/>
    <xf numFmtId="1" fontId="4" fillId="0" borderId="13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left"/>
    </xf>
    <xf numFmtId="3" fontId="6" fillId="4" borderId="14" xfId="0" applyNumberFormat="1" applyFont="1" applyFill="1" applyBorder="1"/>
    <xf numFmtId="3" fontId="6" fillId="4" borderId="15" xfId="0" applyNumberFormat="1" applyFont="1" applyFill="1" applyBorder="1"/>
    <xf numFmtId="3" fontId="6" fillId="4" borderId="17" xfId="0" applyNumberFormat="1" applyFont="1" applyFill="1" applyBorder="1"/>
    <xf numFmtId="3" fontId="6" fillId="5" borderId="17" xfId="0" applyNumberFormat="1" applyFont="1" applyFill="1" applyBorder="1"/>
    <xf numFmtId="1" fontId="4" fillId="0" borderId="18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left"/>
    </xf>
    <xf numFmtId="3" fontId="4" fillId="6" borderId="2" xfId="0" applyNumberFormat="1" applyFont="1" applyFill="1" applyBorder="1"/>
    <xf numFmtId="3" fontId="4" fillId="6" borderId="12" xfId="0" applyNumberFormat="1" applyFont="1" applyFill="1" applyBorder="1"/>
    <xf numFmtId="3" fontId="4" fillId="6" borderId="21" xfId="0" applyNumberFormat="1" applyFont="1" applyFill="1" applyBorder="1"/>
    <xf numFmtId="3" fontId="4" fillId="5" borderId="2" xfId="0" applyNumberFormat="1" applyFont="1" applyFill="1" applyBorder="1"/>
    <xf numFmtId="1" fontId="4" fillId="0" borderId="27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12" fillId="4" borderId="23" xfId="0" applyNumberFormat="1" applyFont="1" applyFill="1" applyBorder="1" applyAlignment="1">
      <alignment horizontal="left"/>
    </xf>
    <xf numFmtId="3" fontId="5" fillId="4" borderId="24" xfId="0" applyNumberFormat="1" applyFont="1" applyFill="1" applyBorder="1"/>
    <xf numFmtId="3" fontId="5" fillId="4" borderId="25" xfId="0" applyNumberFormat="1" applyFont="1" applyFill="1" applyBorder="1"/>
    <xf numFmtId="3" fontId="5" fillId="4" borderId="26" xfId="0" applyNumberFormat="1" applyFont="1" applyFill="1" applyBorder="1"/>
    <xf numFmtId="3" fontId="5" fillId="5" borderId="24" xfId="0" applyNumberFormat="1" applyFont="1" applyFill="1" applyBorder="1"/>
    <xf numFmtId="1" fontId="6" fillId="0" borderId="1" xfId="0" applyNumberFormat="1" applyFont="1" applyBorder="1" applyAlignment="1">
      <alignment horizontal="left"/>
    </xf>
    <xf numFmtId="3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3" fontId="4" fillId="6" borderId="1" xfId="0" applyNumberFormat="1" applyFont="1" applyFill="1" applyBorder="1"/>
    <xf numFmtId="1" fontId="4" fillId="0" borderId="43" xfId="0" applyNumberFormat="1" applyFont="1" applyBorder="1" applyAlignment="1">
      <alignment horizontal="left"/>
    </xf>
    <xf numFmtId="3" fontId="4" fillId="7" borderId="44" xfId="0" applyNumberFormat="1" applyFont="1" applyFill="1" applyBorder="1"/>
    <xf numFmtId="3" fontId="4" fillId="8" borderId="44" xfId="0" applyNumberFormat="1" applyFont="1" applyFill="1" applyBorder="1"/>
    <xf numFmtId="3" fontId="4" fillId="6" borderId="44" xfId="0" applyNumberFormat="1" applyFont="1" applyFill="1" applyBorder="1"/>
    <xf numFmtId="3" fontId="4" fillId="6" borderId="45" xfId="0" applyNumberFormat="1" applyFont="1" applyFill="1" applyBorder="1"/>
    <xf numFmtId="1" fontId="12" fillId="4" borderId="35" xfId="0" applyNumberFormat="1" applyFont="1" applyFill="1" applyBorder="1" applyAlignment="1">
      <alignment horizontal="left"/>
    </xf>
    <xf numFmtId="3" fontId="5" fillId="4" borderId="36" xfId="0" applyNumberFormat="1" applyFont="1" applyFill="1" applyBorder="1"/>
    <xf numFmtId="3" fontId="5" fillId="4" borderId="37" xfId="0" applyNumberFormat="1" applyFont="1" applyFill="1" applyBorder="1"/>
    <xf numFmtId="1" fontId="4" fillId="3" borderId="35" xfId="0" applyNumberFormat="1" applyFont="1" applyFill="1" applyBorder="1" applyAlignment="1">
      <alignment horizontal="left"/>
    </xf>
    <xf numFmtId="3" fontId="4" fillId="3" borderId="36" xfId="0" applyNumberFormat="1" applyFont="1" applyFill="1" applyBorder="1"/>
    <xf numFmtId="3" fontId="4" fillId="5" borderId="36" xfId="0" applyNumberFormat="1" applyFont="1" applyFill="1" applyBorder="1"/>
    <xf numFmtId="3" fontId="4" fillId="3" borderId="37" xfId="0" applyNumberFormat="1" applyFont="1" applyFill="1" applyBorder="1"/>
    <xf numFmtId="3" fontId="5" fillId="5" borderId="36" xfId="0" applyNumberFormat="1" applyFont="1" applyFill="1" applyBorder="1"/>
    <xf numFmtId="1" fontId="6" fillId="0" borderId="16" xfId="0" applyNumberFormat="1" applyFont="1" applyFill="1" applyBorder="1" applyAlignment="1">
      <alignment horizontal="center"/>
    </xf>
    <xf numFmtId="3" fontId="6" fillId="4" borderId="36" xfId="0" applyNumberFormat="1" applyFont="1" applyFill="1" applyBorder="1"/>
    <xf numFmtId="3" fontId="6" fillId="5" borderId="36" xfId="0" applyNumberFormat="1" applyFont="1" applyFill="1" applyBorder="1"/>
    <xf numFmtId="3" fontId="6" fillId="4" borderId="37" xfId="0" applyNumberFormat="1" applyFont="1" applyFill="1" applyBorder="1"/>
    <xf numFmtId="1" fontId="6" fillId="0" borderId="18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12" fillId="3" borderId="28" xfId="0" applyNumberFormat="1" applyFont="1" applyFill="1" applyBorder="1" applyAlignment="1">
      <alignment horizontal="left"/>
    </xf>
    <xf numFmtId="3" fontId="6" fillId="3" borderId="29" xfId="0" applyNumberFormat="1" applyFont="1" applyFill="1" applyBorder="1"/>
    <xf numFmtId="3" fontId="6" fillId="3" borderId="30" xfId="0" applyNumberFormat="1" applyFont="1" applyFill="1" applyBorder="1"/>
    <xf numFmtId="3" fontId="6" fillId="3" borderId="20" xfId="0" applyNumberFormat="1" applyFont="1" applyFill="1" applyBorder="1"/>
    <xf numFmtId="3" fontId="6" fillId="0" borderId="20" xfId="0" applyNumberFormat="1" applyFont="1" applyBorder="1"/>
    <xf numFmtId="3" fontId="4" fillId="3" borderId="25" xfId="0" applyNumberFormat="1" applyFont="1" applyFill="1" applyBorder="1"/>
    <xf numFmtId="1" fontId="4" fillId="0" borderId="19" xfId="0" applyNumberFormat="1" applyFont="1" applyFill="1" applyBorder="1" applyAlignment="1">
      <alignment horizontal="center"/>
    </xf>
    <xf numFmtId="1" fontId="5" fillId="4" borderId="28" xfId="0" applyNumberFormat="1" applyFont="1" applyFill="1" applyBorder="1" applyAlignment="1">
      <alignment horizontal="left"/>
    </xf>
    <xf numFmtId="3" fontId="12" fillId="4" borderId="9" xfId="0" applyNumberFormat="1" applyFont="1" applyFill="1" applyBorder="1"/>
    <xf numFmtId="3" fontId="12" fillId="4" borderId="10" xfId="0" applyNumberFormat="1" applyFont="1" applyFill="1" applyBorder="1"/>
    <xf numFmtId="3" fontId="12" fillId="4" borderId="11" xfId="0" applyNumberFormat="1" applyFont="1" applyFill="1" applyBorder="1"/>
    <xf numFmtId="0" fontId="4" fillId="0" borderId="51" xfId="0" applyFont="1" applyFill="1" applyBorder="1"/>
    <xf numFmtId="0" fontId="4" fillId="0" borderId="52" xfId="0" applyFont="1" applyBorder="1"/>
    <xf numFmtId="1" fontId="4" fillId="3" borderId="1" xfId="0" applyNumberFormat="1" applyFont="1" applyFill="1" applyBorder="1"/>
    <xf numFmtId="1" fontId="7" fillId="3" borderId="1" xfId="0" applyNumberFormat="1" applyFont="1" applyFill="1" applyBorder="1"/>
    <xf numFmtId="1" fontId="4" fillId="0" borderId="1" xfId="0" applyNumberFormat="1" applyFont="1" applyBorder="1"/>
    <xf numFmtId="1" fontId="4" fillId="0" borderId="41" xfId="0" applyNumberFormat="1" applyFont="1" applyFill="1" applyBorder="1" applyAlignment="1">
      <alignment horizontal="center"/>
    </xf>
    <xf numFmtId="1" fontId="4" fillId="3" borderId="34" xfId="0" applyNumberFormat="1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center"/>
    </xf>
    <xf numFmtId="1" fontId="7" fillId="0" borderId="1" xfId="0" applyNumberFormat="1" applyFont="1" applyBorder="1"/>
    <xf numFmtId="1" fontId="13" fillId="3" borderId="1" xfId="0" applyNumberFormat="1" applyFont="1" applyFill="1" applyBorder="1"/>
    <xf numFmtId="0" fontId="4" fillId="0" borderId="41" xfId="0" applyFont="1" applyFill="1" applyBorder="1"/>
    <xf numFmtId="0" fontId="4" fillId="0" borderId="34" xfId="0" applyFont="1" applyBorder="1"/>
    <xf numFmtId="14" fontId="12" fillId="3" borderId="1" xfId="0" applyNumberFormat="1" applyFont="1" applyFill="1" applyBorder="1"/>
    <xf numFmtId="1" fontId="4" fillId="3" borderId="1" xfId="0" applyNumberFormat="1" applyFont="1" applyFill="1" applyBorder="1" applyAlignment="1">
      <alignment horizontal="center"/>
    </xf>
    <xf numFmtId="167" fontId="4" fillId="0" borderId="47" xfId="0" applyNumberFormat="1" applyFont="1" applyFill="1" applyBorder="1" applyAlignment="1">
      <alignment horizontal="center"/>
    </xf>
    <xf numFmtId="167" fontId="4" fillId="3" borderId="42" xfId="0" applyNumberFormat="1" applyFont="1" applyFill="1" applyBorder="1" applyAlignment="1">
      <alignment horizontal="left"/>
    </xf>
    <xf numFmtId="167" fontId="14" fillId="3" borderId="1" xfId="0" applyNumberFormat="1" applyFont="1" applyFill="1" applyBorder="1" applyAlignment="1">
      <alignment horizontal="center"/>
    </xf>
    <xf numFmtId="167" fontId="4" fillId="3" borderId="1" xfId="0" applyNumberFormat="1" applyFont="1" applyFill="1" applyBorder="1" applyAlignment="1">
      <alignment horizontal="center"/>
    </xf>
    <xf numFmtId="167" fontId="4" fillId="3" borderId="1" xfId="0" applyNumberFormat="1" applyFont="1" applyFill="1" applyBorder="1"/>
    <xf numFmtId="167" fontId="6" fillId="0" borderId="1" xfId="0" applyNumberFormat="1" applyFont="1" applyBorder="1" applyAlignment="1">
      <alignment horizontal="left"/>
    </xf>
    <xf numFmtId="0" fontId="10" fillId="0" borderId="0" xfId="0" applyFont="1" applyFill="1"/>
    <xf numFmtId="0" fontId="15" fillId="0" borderId="0" xfId="0" applyFont="1"/>
    <xf numFmtId="3" fontId="0" fillId="0" borderId="0" xfId="0" applyNumberFormat="1"/>
    <xf numFmtId="0" fontId="17" fillId="15" borderId="0" xfId="0" applyFont="1" applyFill="1"/>
    <xf numFmtId="0" fontId="18" fillId="15" borderId="0" xfId="0" applyFont="1" applyFill="1"/>
    <xf numFmtId="0" fontId="18" fillId="15" borderId="0" xfId="0" applyFont="1" applyFill="1" applyAlignment="1">
      <alignment horizontal="center" vertical="center"/>
    </xf>
    <xf numFmtId="0" fontId="15" fillId="0" borderId="56" xfId="0" applyFont="1" applyBorder="1"/>
    <xf numFmtId="3" fontId="0" fillId="0" borderId="56" xfId="0" applyNumberFormat="1" applyBorder="1"/>
    <xf numFmtId="0" fontId="0" fillId="0" borderId="33" xfId="0" applyBorder="1"/>
    <xf numFmtId="0" fontId="15" fillId="14" borderId="0" xfId="0" applyFont="1" applyFill="1"/>
    <xf numFmtId="3" fontId="0" fillId="14" borderId="0" xfId="0" applyNumberFormat="1" applyFill="1"/>
    <xf numFmtId="0" fontId="15" fillId="0" borderId="33" xfId="0" applyFont="1" applyBorder="1"/>
    <xf numFmtId="3" fontId="0" fillId="0" borderId="33" xfId="0" applyNumberFormat="1" applyBorder="1"/>
    <xf numFmtId="0" fontId="15" fillId="0" borderId="57" xfId="0" applyFont="1" applyBorder="1"/>
    <xf numFmtId="3" fontId="0" fillId="0" borderId="57" xfId="0" applyNumberFormat="1" applyBorder="1"/>
    <xf numFmtId="0" fontId="19" fillId="0" borderId="0" xfId="0" applyFont="1" applyAlignment="1">
      <alignment horizontal="right" vertical="center"/>
    </xf>
    <xf numFmtId="0" fontId="20" fillId="0" borderId="33" xfId="0" applyFont="1" applyBorder="1"/>
    <xf numFmtId="3" fontId="20" fillId="0" borderId="33" xfId="0" applyNumberFormat="1" applyFont="1" applyBorder="1"/>
    <xf numFmtId="0" fontId="17" fillId="16" borderId="0" xfId="0" applyFont="1" applyFill="1"/>
    <xf numFmtId="0" fontId="15" fillId="10" borderId="33" xfId="0" applyFont="1" applyFill="1" applyBorder="1"/>
    <xf numFmtId="0" fontId="0" fillId="10" borderId="33" xfId="0" applyFill="1" applyBorder="1"/>
    <xf numFmtId="3" fontId="0" fillId="10" borderId="33" xfId="0" applyNumberFormat="1" applyFill="1" applyBorder="1"/>
    <xf numFmtId="0" fontId="15" fillId="10" borderId="56" xfId="0" applyFont="1" applyFill="1" applyBorder="1"/>
    <xf numFmtId="0" fontId="0" fillId="10" borderId="56" xfId="0" applyFill="1" applyBorder="1"/>
    <xf numFmtId="3" fontId="0" fillId="10" borderId="56" xfId="0" applyNumberFormat="1" applyFill="1" applyBorder="1"/>
    <xf numFmtId="0" fontId="15" fillId="17" borderId="33" xfId="0" applyFont="1" applyFill="1" applyBorder="1"/>
    <xf numFmtId="3" fontId="0" fillId="17" borderId="33" xfId="0" applyNumberFormat="1" applyFill="1" applyBorder="1"/>
    <xf numFmtId="3" fontId="17" fillId="15" borderId="0" xfId="0" applyNumberFormat="1" applyFont="1" applyFill="1" applyAlignment="1">
      <alignment horizontal="center" vertical="center"/>
    </xf>
    <xf numFmtId="0" fontId="0" fillId="0" borderId="1" xfId="0" applyFill="1" applyBorder="1"/>
    <xf numFmtId="0" fontId="17" fillId="0" borderId="1" xfId="0" applyFont="1" applyFill="1" applyBorder="1"/>
    <xf numFmtId="3" fontId="0" fillId="0" borderId="1" xfId="0" applyNumberFormat="1" applyFill="1" applyBorder="1"/>
    <xf numFmtId="0" fontId="20" fillId="0" borderId="1" xfId="0" applyFont="1" applyFill="1" applyBorder="1"/>
    <xf numFmtId="0" fontId="19" fillId="0" borderId="1" xfId="0" applyFont="1" applyFill="1" applyBorder="1"/>
    <xf numFmtId="3" fontId="19" fillId="0" borderId="1" xfId="0" applyNumberFormat="1" applyFont="1" applyFill="1" applyBorder="1"/>
    <xf numFmtId="9" fontId="19" fillId="0" borderId="1" xfId="3" applyFont="1" applyFill="1" applyBorder="1"/>
    <xf numFmtId="0" fontId="21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174" fontId="3" fillId="0" borderId="1" xfId="2" applyNumberFormat="1" applyFont="1" applyFill="1" applyBorder="1"/>
    <xf numFmtId="0" fontId="5" fillId="0" borderId="0" xfId="0" applyFont="1" applyFill="1" applyAlignment="1"/>
    <xf numFmtId="0" fontId="6" fillId="0" borderId="1" xfId="0" applyFont="1" applyFill="1" applyBorder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 wrapText="1"/>
    </xf>
    <xf numFmtId="175" fontId="4" fillId="0" borderId="36" xfId="0" applyNumberFormat="1" applyFont="1" applyFill="1" applyBorder="1" applyAlignment="1"/>
    <xf numFmtId="0" fontId="4" fillId="0" borderId="36" xfId="0" applyFont="1" applyFill="1" applyBorder="1" applyAlignment="1"/>
    <xf numFmtId="165" fontId="4" fillId="0" borderId="36" xfId="0" applyNumberFormat="1" applyFont="1" applyFill="1" applyBorder="1" applyAlignment="1">
      <alignment horizontal="right"/>
    </xf>
    <xf numFmtId="0" fontId="4" fillId="0" borderId="49" xfId="0" applyFont="1" applyFill="1" applyBorder="1"/>
    <xf numFmtId="173" fontId="4" fillId="0" borderId="36" xfId="0" applyNumberFormat="1" applyFont="1" applyFill="1" applyBorder="1" applyAlignment="1">
      <alignment horizontal="right"/>
    </xf>
    <xf numFmtId="0" fontId="4" fillId="0" borderId="36" xfId="0" applyFont="1" applyFill="1" applyBorder="1"/>
    <xf numFmtId="0" fontId="4" fillId="0" borderId="3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72" fontId="4" fillId="0" borderId="1" xfId="0" applyNumberFormat="1" applyFont="1" applyFill="1" applyBorder="1"/>
    <xf numFmtId="0" fontId="4" fillId="0" borderId="1" xfId="0" applyFont="1" applyFill="1" applyBorder="1" applyAlignment="1"/>
    <xf numFmtId="0" fontId="3" fillId="0" borderId="43" xfId="1" applyFont="1" applyFill="1" applyBorder="1"/>
    <xf numFmtId="0" fontId="3" fillId="0" borderId="44" xfId="1" applyFont="1" applyFill="1" applyBorder="1"/>
    <xf numFmtId="174" fontId="3" fillId="0" borderId="45" xfId="1" applyNumberFormat="1" applyFont="1" applyFill="1" applyBorder="1"/>
    <xf numFmtId="0" fontId="1" fillId="0" borderId="35" xfId="1" applyFill="1" applyBorder="1"/>
    <xf numFmtId="170" fontId="1" fillId="0" borderId="36" xfId="1" applyNumberFormat="1" applyFill="1" applyBorder="1"/>
    <xf numFmtId="174" fontId="4" fillId="0" borderId="36" xfId="0" applyNumberFormat="1" applyFont="1" applyFill="1" applyBorder="1" applyAlignment="1"/>
    <xf numFmtId="164" fontId="0" fillId="0" borderId="36" xfId="2" applyNumberFormat="1" applyFont="1" applyFill="1" applyBorder="1"/>
    <xf numFmtId="0" fontId="1" fillId="0" borderId="38" xfId="1" applyFill="1" applyBorder="1"/>
    <xf numFmtId="164" fontId="0" fillId="0" borderId="39" xfId="2" applyNumberFormat="1" applyFont="1" applyFill="1" applyBorder="1"/>
    <xf numFmtId="0" fontId="1" fillId="0" borderId="41" xfId="1" applyFill="1" applyBorder="1"/>
    <xf numFmtId="171" fontId="0" fillId="0" borderId="1" xfId="2" applyNumberFormat="1" applyFont="1" applyFill="1" applyBorder="1"/>
    <xf numFmtId="174" fontId="0" fillId="0" borderId="1" xfId="2" applyNumberFormat="1" applyFont="1" applyFill="1" applyBorder="1"/>
    <xf numFmtId="0" fontId="3" fillId="0" borderId="46" xfId="1" applyFont="1" applyFill="1" applyBorder="1" applyAlignment="1">
      <alignment horizontal="center"/>
    </xf>
    <xf numFmtId="0" fontId="3" fillId="0" borderId="35" xfId="1" applyFont="1" applyFill="1" applyBorder="1" applyAlignment="1">
      <alignment horizontal="left"/>
    </xf>
    <xf numFmtId="0" fontId="1" fillId="0" borderId="36" xfId="1" applyFill="1" applyBorder="1" applyAlignment="1">
      <alignment horizontal="center"/>
    </xf>
    <xf numFmtId="171" fontId="0" fillId="0" borderId="36" xfId="2" applyNumberFormat="1" applyFont="1" applyFill="1" applyBorder="1"/>
    <xf numFmtId="0" fontId="1" fillId="0" borderId="35" xfId="1" applyFill="1" applyBorder="1" applyAlignment="1">
      <alignment wrapText="1"/>
    </xf>
    <xf numFmtId="0" fontId="3" fillId="0" borderId="35" xfId="1" applyFont="1" applyFill="1" applyBorder="1"/>
    <xf numFmtId="171" fontId="3" fillId="0" borderId="36" xfId="1" applyNumberFormat="1" applyFont="1" applyFill="1" applyBorder="1"/>
    <xf numFmtId="174" fontId="3" fillId="0" borderId="36" xfId="1" applyNumberFormat="1" applyFont="1" applyFill="1" applyBorder="1"/>
    <xf numFmtId="0" fontId="3" fillId="0" borderId="38" xfId="1" applyFont="1" applyFill="1" applyBorder="1"/>
    <xf numFmtId="171" fontId="3" fillId="0" borderId="39" xfId="2" applyNumberFormat="1" applyFont="1" applyFill="1" applyBorder="1"/>
    <xf numFmtId="174" fontId="3" fillId="0" borderId="39" xfId="2" applyNumberFormat="1" applyFont="1" applyFill="1" applyBorder="1"/>
    <xf numFmtId="0" fontId="1" fillId="0" borderId="1" xfId="1" applyFill="1" applyBorder="1"/>
    <xf numFmtId="174" fontId="1" fillId="0" borderId="1" xfId="1" applyNumberFormat="1" applyFill="1" applyBorder="1"/>
    <xf numFmtId="0" fontId="3" fillId="0" borderId="35" xfId="1" applyFont="1" applyFill="1" applyBorder="1" applyAlignment="1">
      <alignment horizontal="right"/>
    </xf>
    <xf numFmtId="171" fontId="1" fillId="0" borderId="1" xfId="1" applyNumberFormat="1" applyFill="1"/>
    <xf numFmtId="174" fontId="1" fillId="0" borderId="1" xfId="1" applyNumberFormat="1" applyFill="1"/>
    <xf numFmtId="14" fontId="4" fillId="0" borderId="1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166" fontId="4" fillId="0" borderId="36" xfId="0" applyNumberFormat="1" applyFont="1" applyFill="1" applyBorder="1" applyAlignment="1">
      <alignment horizontal="center" vertical="center"/>
    </xf>
    <xf numFmtId="0" fontId="22" fillId="0" borderId="0" xfId="0" applyFont="1"/>
    <xf numFmtId="3" fontId="22" fillId="0" borderId="0" xfId="0" applyNumberFormat="1" applyFont="1"/>
    <xf numFmtId="0" fontId="15" fillId="0" borderId="0" xfId="0" applyFont="1" applyFill="1"/>
    <xf numFmtId="3" fontId="7" fillId="6" borderId="36" xfId="0" applyNumberFormat="1" applyFont="1" applyFill="1" applyBorder="1"/>
    <xf numFmtId="175" fontId="7" fillId="0" borderId="36" xfId="0" applyNumberFormat="1" applyFont="1" applyFill="1" applyBorder="1" applyAlignment="1"/>
    <xf numFmtId="0" fontId="7" fillId="0" borderId="36" xfId="0" applyFont="1" applyFill="1" applyBorder="1" applyAlignment="1"/>
    <xf numFmtId="0" fontId="7" fillId="0" borderId="49" xfId="0" applyFont="1" applyFill="1" applyBorder="1" applyAlignment="1"/>
    <xf numFmtId="174" fontId="7" fillId="0" borderId="36" xfId="0" applyNumberFormat="1" applyFont="1" applyFill="1" applyBorder="1" applyAlignment="1"/>
    <xf numFmtId="3" fontId="7" fillId="0" borderId="36" xfId="0" applyNumberFormat="1" applyFont="1" applyFill="1" applyBorder="1" applyAlignment="1"/>
    <xf numFmtId="1" fontId="7" fillId="6" borderId="35" xfId="0" applyNumberFormat="1" applyFont="1" applyFill="1" applyBorder="1"/>
    <xf numFmtId="3" fontId="7" fillId="7" borderId="46" xfId="0" applyNumberFormat="1" applyFont="1" applyFill="1" applyBorder="1"/>
    <xf numFmtId="3" fontId="7" fillId="7" borderId="36" xfId="0" applyNumberFormat="1" applyFont="1" applyFill="1" applyBorder="1"/>
    <xf numFmtId="0" fontId="7" fillId="0" borderId="0" xfId="0" applyFont="1"/>
    <xf numFmtId="3" fontId="7" fillId="4" borderId="60" xfId="0" applyNumberFormat="1" applyFont="1" applyFill="1" applyBorder="1"/>
    <xf numFmtId="3" fontId="4" fillId="6" borderId="49" xfId="0" applyNumberFormat="1" applyFont="1" applyFill="1" applyBorder="1"/>
    <xf numFmtId="9" fontId="10" fillId="13" borderId="49" xfId="0" applyNumberFormat="1" applyFont="1" applyFill="1" applyBorder="1"/>
    <xf numFmtId="3" fontId="6" fillId="11" borderId="61" xfId="0" applyNumberFormat="1" applyFont="1" applyFill="1" applyBorder="1"/>
    <xf numFmtId="3" fontId="11" fillId="14" borderId="62" xfId="0" applyNumberFormat="1" applyFont="1" applyFill="1" applyBorder="1"/>
    <xf numFmtId="3" fontId="4" fillId="4" borderId="49" xfId="0" applyNumberFormat="1" applyFont="1" applyFill="1" applyBorder="1"/>
    <xf numFmtId="3" fontId="4" fillId="11" borderId="49" xfId="0" applyNumberFormat="1" applyFont="1" applyFill="1" applyBorder="1"/>
    <xf numFmtId="3" fontId="5" fillId="4" borderId="63" xfId="0" applyNumberFormat="1" applyFont="1" applyFill="1" applyBorder="1"/>
    <xf numFmtId="3" fontId="4" fillId="8" borderId="60" xfId="0" applyNumberFormat="1" applyFont="1" applyFill="1" applyBorder="1"/>
    <xf numFmtId="3" fontId="5" fillId="4" borderId="49" xfId="0" applyNumberFormat="1" applyFont="1" applyFill="1" applyBorder="1"/>
    <xf numFmtId="3" fontId="4" fillId="3" borderId="49" xfId="0" applyNumberFormat="1" applyFont="1" applyFill="1" applyBorder="1"/>
    <xf numFmtId="3" fontId="6" fillId="4" borderId="49" xfId="0" applyNumberFormat="1" applyFont="1" applyFill="1" applyBorder="1"/>
    <xf numFmtId="3" fontId="4" fillId="4" borderId="20" xfId="0" applyNumberFormat="1" applyFont="1" applyFill="1" applyBorder="1"/>
    <xf numFmtId="3" fontId="7" fillId="4" borderId="64" xfId="0" applyNumberFormat="1" applyFont="1" applyFill="1" applyBorder="1"/>
    <xf numFmtId="3" fontId="4" fillId="6" borderId="65" xfId="0" applyNumberFormat="1" applyFont="1" applyFill="1" applyBorder="1"/>
    <xf numFmtId="9" fontId="10" fillId="13" borderId="65" xfId="0" applyNumberFormat="1" applyFont="1" applyFill="1" applyBorder="1"/>
    <xf numFmtId="3" fontId="6" fillId="4" borderId="66" xfId="0" applyNumberFormat="1" applyFont="1" applyFill="1" applyBorder="1"/>
    <xf numFmtId="3" fontId="11" fillId="14" borderId="67" xfId="0" applyNumberFormat="1" applyFont="1" applyFill="1" applyBorder="1"/>
    <xf numFmtId="3" fontId="4" fillId="4" borderId="65" xfId="0" applyNumberFormat="1" applyFont="1" applyFill="1" applyBorder="1"/>
    <xf numFmtId="3" fontId="5" fillId="4" borderId="68" xfId="0" applyNumberFormat="1" applyFont="1" applyFill="1" applyBorder="1"/>
    <xf numFmtId="3" fontId="4" fillId="6" borderId="48" xfId="0" applyNumberFormat="1" applyFont="1" applyFill="1" applyBorder="1"/>
    <xf numFmtId="3" fontId="4" fillId="6" borderId="64" xfId="0" applyNumberFormat="1" applyFont="1" applyFill="1" applyBorder="1"/>
    <xf numFmtId="3" fontId="5" fillId="4" borderId="65" xfId="0" applyNumberFormat="1" applyFont="1" applyFill="1" applyBorder="1"/>
    <xf numFmtId="3" fontId="4" fillId="3" borderId="65" xfId="0" applyNumberFormat="1" applyFont="1" applyFill="1" applyBorder="1"/>
    <xf numFmtId="3" fontId="6" fillId="4" borderId="65" xfId="0" applyNumberFormat="1" applyFont="1" applyFill="1" applyBorder="1"/>
    <xf numFmtId="3" fontId="12" fillId="4" borderId="20" xfId="0" applyNumberFormat="1" applyFont="1" applyFill="1" applyBorder="1"/>
    <xf numFmtId="1" fontId="4" fillId="3" borderId="69" xfId="0" applyNumberFormat="1" applyFont="1" applyFill="1" applyBorder="1"/>
    <xf numFmtId="1" fontId="4" fillId="3" borderId="70" xfId="0" applyNumberFormat="1" applyFont="1" applyFill="1" applyBorder="1"/>
    <xf numFmtId="167" fontId="4" fillId="3" borderId="70" xfId="0" applyNumberFormat="1" applyFont="1" applyFill="1" applyBorder="1"/>
    <xf numFmtId="1" fontId="4" fillId="0" borderId="71" xfId="0" applyNumberFormat="1" applyFont="1" applyBorder="1" applyAlignment="1">
      <alignment horizontal="center"/>
    </xf>
    <xf numFmtId="168" fontId="9" fillId="3" borderId="72" xfId="0" applyNumberFormat="1" applyFont="1" applyFill="1" applyBorder="1"/>
    <xf numFmtId="168" fontId="6" fillId="3" borderId="70" xfId="0" applyNumberFormat="1" applyFont="1" applyFill="1" applyBorder="1"/>
    <xf numFmtId="3" fontId="4" fillId="4" borderId="73" xfId="0" applyNumberFormat="1" applyFont="1" applyFill="1" applyBorder="1"/>
    <xf numFmtId="3" fontId="4" fillId="3" borderId="70" xfId="0" applyNumberFormat="1" applyFont="1" applyFill="1" applyBorder="1"/>
    <xf numFmtId="3" fontId="7" fillId="4" borderId="74" xfId="0" applyNumberFormat="1" applyFont="1" applyFill="1" applyBorder="1"/>
    <xf numFmtId="3" fontId="4" fillId="6" borderId="75" xfId="0" applyNumberFormat="1" applyFont="1" applyFill="1" applyBorder="1"/>
    <xf numFmtId="9" fontId="10" fillId="13" borderId="75" xfId="0" applyNumberFormat="1" applyFont="1" applyFill="1" applyBorder="1"/>
    <xf numFmtId="3" fontId="6" fillId="11" borderId="59" xfId="0" applyNumberFormat="1" applyFont="1" applyFill="1" applyBorder="1"/>
    <xf numFmtId="3" fontId="11" fillId="14" borderId="76" xfId="0" applyNumberFormat="1" applyFont="1" applyFill="1" applyBorder="1"/>
    <xf numFmtId="3" fontId="4" fillId="4" borderId="75" xfId="0" applyNumberFormat="1" applyFont="1" applyFill="1" applyBorder="1"/>
    <xf numFmtId="3" fontId="4" fillId="11" borderId="75" xfId="0" applyNumberFormat="1" applyFont="1" applyFill="1" applyBorder="1"/>
    <xf numFmtId="3" fontId="5" fillId="4" borderId="77" xfId="0" applyNumberFormat="1" applyFont="1" applyFill="1" applyBorder="1"/>
    <xf numFmtId="3" fontId="6" fillId="4" borderId="78" xfId="0" applyNumberFormat="1" applyFont="1" applyFill="1" applyBorder="1"/>
    <xf numFmtId="3" fontId="4" fillId="6" borderId="79" xfId="0" applyNumberFormat="1" applyFont="1" applyFill="1" applyBorder="1"/>
    <xf numFmtId="3" fontId="5" fillId="4" borderId="80" xfId="0" applyNumberFormat="1" applyFont="1" applyFill="1" applyBorder="1"/>
    <xf numFmtId="3" fontId="5" fillId="0" borderId="70" xfId="0" applyNumberFormat="1" applyFont="1" applyBorder="1"/>
    <xf numFmtId="3" fontId="4" fillId="6" borderId="70" xfId="0" applyNumberFormat="1" applyFont="1" applyFill="1" applyBorder="1"/>
    <xf numFmtId="3" fontId="4" fillId="8" borderId="74" xfId="0" applyNumberFormat="1" applyFont="1" applyFill="1" applyBorder="1"/>
    <xf numFmtId="3" fontId="5" fillId="4" borderId="75" xfId="0" applyNumberFormat="1" applyFont="1" applyFill="1" applyBorder="1"/>
    <xf numFmtId="3" fontId="4" fillId="3" borderId="75" xfId="0" applyNumberFormat="1" applyFont="1" applyFill="1" applyBorder="1"/>
    <xf numFmtId="3" fontId="6" fillId="4" borderId="75" xfId="0" applyNumberFormat="1" applyFont="1" applyFill="1" applyBorder="1"/>
    <xf numFmtId="3" fontId="6" fillId="3" borderId="73" xfId="0" applyNumberFormat="1" applyFont="1" applyFill="1" applyBorder="1"/>
    <xf numFmtId="3" fontId="12" fillId="4" borderId="73" xfId="0" applyNumberFormat="1" applyFont="1" applyFill="1" applyBorder="1"/>
    <xf numFmtId="3" fontId="4" fillId="0" borderId="70" xfId="0" applyNumberFormat="1" applyFont="1" applyBorder="1"/>
    <xf numFmtId="0" fontId="4" fillId="0" borderId="70" xfId="0" applyFont="1" applyBorder="1"/>
    <xf numFmtId="0" fontId="15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1" fontId="8" fillId="3" borderId="41" xfId="0" applyNumberFormat="1" applyFont="1" applyFill="1" applyBorder="1" applyAlignment="1">
      <alignment horizontal="center"/>
    </xf>
    <xf numFmtId="1" fontId="8" fillId="3" borderId="3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33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center"/>
    </xf>
    <xf numFmtId="0" fontId="3" fillId="0" borderId="43" xfId="1" applyFont="1" applyFill="1" applyBorder="1" applyAlignment="1">
      <alignment horizontal="center"/>
    </xf>
    <xf numFmtId="0" fontId="3" fillId="0" borderId="44" xfId="1" applyFont="1" applyFill="1" applyBorder="1" applyAlignment="1">
      <alignment horizontal="center"/>
    </xf>
    <xf numFmtId="0" fontId="2" fillId="0" borderId="31" xfId="1" applyFont="1" applyFill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0" fontId="3" fillId="0" borderId="4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34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/>
    </xf>
    <xf numFmtId="0" fontId="4" fillId="12" borderId="48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left"/>
    </xf>
    <xf numFmtId="0" fontId="4" fillId="5" borderId="36" xfId="0" applyFont="1" applyFill="1" applyBorder="1" applyAlignment="1">
      <alignment horizontal="center"/>
    </xf>
    <xf numFmtId="1" fontId="4" fillId="18" borderId="1" xfId="0" applyNumberFormat="1" applyFont="1" applyFill="1" applyBorder="1"/>
    <xf numFmtId="167" fontId="4" fillId="18" borderId="1" xfId="0" applyNumberFormat="1" applyFont="1" applyFill="1" applyBorder="1"/>
    <xf numFmtId="1" fontId="4" fillId="10" borderId="3" xfId="0" applyNumberFormat="1" applyFont="1" applyFill="1" applyBorder="1" applyAlignment="1">
      <alignment horizontal="center"/>
    </xf>
    <xf numFmtId="168" fontId="9" fillId="18" borderId="6" xfId="0" applyNumberFormat="1" applyFont="1" applyFill="1" applyBorder="1"/>
    <xf numFmtId="168" fontId="6" fillId="18" borderId="1" xfId="0" applyNumberFormat="1" applyFont="1" applyFill="1" applyBorder="1"/>
    <xf numFmtId="3" fontId="4" fillId="19" borderId="9" xfId="0" applyNumberFormat="1" applyFont="1" applyFill="1" applyBorder="1"/>
    <xf numFmtId="3" fontId="4" fillId="18" borderId="1" xfId="0" applyNumberFormat="1" applyFont="1" applyFill="1" applyBorder="1"/>
    <xf numFmtId="3" fontId="7" fillId="19" borderId="44" xfId="0" applyNumberFormat="1" applyFont="1" applyFill="1" applyBorder="1"/>
    <xf numFmtId="3" fontId="4" fillId="20" borderId="36" xfId="0" applyNumberFormat="1" applyFont="1" applyFill="1" applyBorder="1"/>
    <xf numFmtId="9" fontId="7" fillId="10" borderId="36" xfId="0" applyNumberFormat="1" applyFont="1" applyFill="1" applyBorder="1"/>
    <xf numFmtId="9" fontId="10" fillId="10" borderId="36" xfId="0" applyNumberFormat="1" applyFont="1" applyFill="1" applyBorder="1"/>
    <xf numFmtId="3" fontId="6" fillId="19" borderId="55" xfId="0" applyNumberFormat="1" applyFont="1" applyFill="1" applyBorder="1"/>
    <xf numFmtId="3" fontId="11" fillId="10" borderId="46" xfId="0" applyNumberFormat="1" applyFont="1" applyFill="1" applyBorder="1"/>
    <xf numFmtId="3" fontId="4" fillId="19" borderId="36" xfId="0" applyNumberFormat="1" applyFont="1" applyFill="1" applyBorder="1"/>
    <xf numFmtId="3" fontId="7" fillId="20" borderId="36" xfId="0" applyNumberFormat="1" applyFont="1" applyFill="1" applyBorder="1"/>
    <xf numFmtId="3" fontId="4" fillId="21" borderId="36" xfId="0" applyNumberFormat="1" applyFont="1" applyFill="1" applyBorder="1"/>
    <xf numFmtId="3" fontId="5" fillId="19" borderId="39" xfId="0" applyNumberFormat="1" applyFont="1" applyFill="1" applyBorder="1"/>
    <xf numFmtId="3" fontId="5" fillId="18" borderId="1" xfId="0" applyNumberFormat="1" applyFont="1" applyFill="1" applyBorder="1"/>
    <xf numFmtId="3" fontId="6" fillId="19" borderId="14" xfId="0" applyNumberFormat="1" applyFont="1" applyFill="1" applyBorder="1"/>
    <xf numFmtId="3" fontId="4" fillId="20" borderId="2" xfId="0" applyNumberFormat="1" applyFont="1" applyFill="1" applyBorder="1"/>
    <xf numFmtId="3" fontId="5" fillId="19" borderId="25" xfId="0" applyNumberFormat="1" applyFont="1" applyFill="1" applyBorder="1"/>
    <xf numFmtId="3" fontId="5" fillId="10" borderId="1" xfId="0" applyNumberFormat="1" applyFont="1" applyFill="1" applyBorder="1"/>
    <xf numFmtId="3" fontId="4" fillId="20" borderId="1" xfId="0" applyNumberFormat="1" applyFont="1" applyFill="1" applyBorder="1"/>
    <xf numFmtId="3" fontId="4" fillId="5" borderId="44" xfId="0" applyNumberFormat="1" applyFont="1" applyFill="1" applyBorder="1"/>
    <xf numFmtId="3" fontId="5" fillId="19" borderId="36" xfId="0" applyNumberFormat="1" applyFont="1" applyFill="1" applyBorder="1"/>
    <xf numFmtId="3" fontId="4" fillId="18" borderId="36" xfId="0" applyNumberFormat="1" applyFont="1" applyFill="1" applyBorder="1"/>
    <xf numFmtId="3" fontId="6" fillId="19" borderId="36" xfId="0" applyNumberFormat="1" applyFont="1" applyFill="1" applyBorder="1"/>
    <xf numFmtId="3" fontId="6" fillId="18" borderId="29" xfId="0" applyNumberFormat="1" applyFont="1" applyFill="1" applyBorder="1"/>
    <xf numFmtId="3" fontId="12" fillId="19" borderId="9" xfId="0" applyNumberFormat="1" applyFont="1" applyFill="1" applyBorder="1"/>
    <xf numFmtId="3" fontId="4" fillId="10" borderId="1" xfId="0" applyNumberFormat="1" applyFont="1" applyFill="1" applyBorder="1"/>
    <xf numFmtId="0" fontId="4" fillId="10" borderId="0" xfId="0" applyFont="1" applyFill="1"/>
  </cellXfs>
  <cellStyles count="4">
    <cellStyle name="Денежный 2" xfId="2"/>
    <cellStyle name="Обычный" xfId="0" builtinId="0"/>
    <cellStyle name="Обычный 2" xfId="1"/>
    <cellStyle name="Процентный" xfId="3" builtinId="5"/>
  </cellStyles>
  <dxfs count="0"/>
  <tableStyles count="0" defaultTableStyle="TableStyleMedium9" defaultPivotStyle="PivotStyleMedium4"/>
  <colors>
    <mruColors>
      <color rgb="FFCCFFCC"/>
      <color rgb="FFFAB4ED"/>
      <color rgb="FFC20E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ru-RU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Выручка</a:t>
            </a:r>
            <a:r>
              <a:rPr lang="ru-RU" sz="1400" b="1" i="0" baseline="0">
                <a:effectLst/>
              </a:rPr>
              <a:t>(план)</a:t>
            </a:r>
            <a:r>
              <a:rPr lang="ru-RU" sz="1200"/>
              <a:t>/мес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857629775444721"/>
          <c:y val="0.23845643261534558"/>
          <c:w val="0.85128444881889864"/>
          <c:h val="0.61947549944686764"/>
        </c:manualLayout>
      </c:layout>
      <c:lineChart>
        <c:grouping val="standard"/>
        <c:varyColors val="1"/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СashFlow!$C$9:$BJ$9</c:f>
              <c:numCache>
                <c:formatCode>mmm\ yy</c:formatCode>
                <c:ptCount val="60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  <c:pt idx="13">
                  <c:v>43160</c:v>
                </c:pt>
                <c:pt idx="14">
                  <c:v>43191</c:v>
                </c:pt>
                <c:pt idx="15">
                  <c:v>43221</c:v>
                </c:pt>
                <c:pt idx="16">
                  <c:v>43252</c:v>
                </c:pt>
                <c:pt idx="17">
                  <c:v>43282</c:v>
                </c:pt>
                <c:pt idx="18">
                  <c:v>43313</c:v>
                </c:pt>
                <c:pt idx="19">
                  <c:v>43344</c:v>
                </c:pt>
                <c:pt idx="20">
                  <c:v>43374</c:v>
                </c:pt>
                <c:pt idx="21">
                  <c:v>43405</c:v>
                </c:pt>
                <c:pt idx="22">
                  <c:v>43435</c:v>
                </c:pt>
                <c:pt idx="23">
                  <c:v>43466</c:v>
                </c:pt>
                <c:pt idx="24">
                  <c:v>43497</c:v>
                </c:pt>
                <c:pt idx="25">
                  <c:v>43525</c:v>
                </c:pt>
                <c:pt idx="26">
                  <c:v>43556</c:v>
                </c:pt>
                <c:pt idx="27">
                  <c:v>43586</c:v>
                </c:pt>
                <c:pt idx="28">
                  <c:v>43617</c:v>
                </c:pt>
                <c:pt idx="29">
                  <c:v>43647</c:v>
                </c:pt>
                <c:pt idx="30">
                  <c:v>43678</c:v>
                </c:pt>
                <c:pt idx="31">
                  <c:v>43709</c:v>
                </c:pt>
                <c:pt idx="32">
                  <c:v>43739</c:v>
                </c:pt>
                <c:pt idx="33">
                  <c:v>43770</c:v>
                </c:pt>
                <c:pt idx="34">
                  <c:v>43800</c:v>
                </c:pt>
                <c:pt idx="35">
                  <c:v>43831</c:v>
                </c:pt>
                <c:pt idx="36">
                  <c:v>43862</c:v>
                </c:pt>
                <c:pt idx="37">
                  <c:v>43891</c:v>
                </c:pt>
                <c:pt idx="38">
                  <c:v>43922</c:v>
                </c:pt>
                <c:pt idx="39">
                  <c:v>43952</c:v>
                </c:pt>
                <c:pt idx="40">
                  <c:v>43983</c:v>
                </c:pt>
                <c:pt idx="41">
                  <c:v>44013</c:v>
                </c:pt>
                <c:pt idx="42">
                  <c:v>44044</c:v>
                </c:pt>
                <c:pt idx="43">
                  <c:v>44075</c:v>
                </c:pt>
                <c:pt idx="44">
                  <c:v>44105</c:v>
                </c:pt>
                <c:pt idx="45">
                  <c:v>44136</c:v>
                </c:pt>
                <c:pt idx="46">
                  <c:v>44166</c:v>
                </c:pt>
                <c:pt idx="47">
                  <c:v>44197</c:v>
                </c:pt>
                <c:pt idx="48">
                  <c:v>44228</c:v>
                </c:pt>
                <c:pt idx="49">
                  <c:v>44256</c:v>
                </c:pt>
                <c:pt idx="50">
                  <c:v>44287</c:v>
                </c:pt>
                <c:pt idx="51">
                  <c:v>44317</c:v>
                </c:pt>
                <c:pt idx="52">
                  <c:v>44348</c:v>
                </c:pt>
                <c:pt idx="53">
                  <c:v>44378</c:v>
                </c:pt>
                <c:pt idx="54">
                  <c:v>44409</c:v>
                </c:pt>
                <c:pt idx="55">
                  <c:v>44440</c:v>
                </c:pt>
                <c:pt idx="56">
                  <c:v>44470</c:v>
                </c:pt>
                <c:pt idx="57">
                  <c:v>44501</c:v>
                </c:pt>
                <c:pt idx="58">
                  <c:v>44531</c:v>
                </c:pt>
                <c:pt idx="59">
                  <c:v>44562</c:v>
                </c:pt>
              </c:numCache>
            </c:numRef>
          </c:cat>
          <c:val>
            <c:numRef>
              <c:f>СashFlow!$C$59:$R$59</c:f>
            </c:numRef>
          </c:val>
          <c:smooth val="1"/>
        </c:ser>
        <c:ser>
          <c:idx val="0"/>
          <c:order val="2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СashFlow!$C$9:$BJ$9</c:f>
              <c:numCache>
                <c:formatCode>mmm\ yy</c:formatCode>
                <c:ptCount val="60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  <c:pt idx="13">
                  <c:v>43160</c:v>
                </c:pt>
                <c:pt idx="14">
                  <c:v>43191</c:v>
                </c:pt>
                <c:pt idx="15">
                  <c:v>43221</c:v>
                </c:pt>
                <c:pt idx="16">
                  <c:v>43252</c:v>
                </c:pt>
                <c:pt idx="17">
                  <c:v>43282</c:v>
                </c:pt>
                <c:pt idx="18">
                  <c:v>43313</c:v>
                </c:pt>
                <c:pt idx="19">
                  <c:v>43344</c:v>
                </c:pt>
                <c:pt idx="20">
                  <c:v>43374</c:v>
                </c:pt>
                <c:pt idx="21">
                  <c:v>43405</c:v>
                </c:pt>
                <c:pt idx="22">
                  <c:v>43435</c:v>
                </c:pt>
                <c:pt idx="23">
                  <c:v>43466</c:v>
                </c:pt>
                <c:pt idx="24">
                  <c:v>43497</c:v>
                </c:pt>
                <c:pt idx="25">
                  <c:v>43525</c:v>
                </c:pt>
                <c:pt idx="26">
                  <c:v>43556</c:v>
                </c:pt>
                <c:pt idx="27">
                  <c:v>43586</c:v>
                </c:pt>
                <c:pt idx="28">
                  <c:v>43617</c:v>
                </c:pt>
                <c:pt idx="29">
                  <c:v>43647</c:v>
                </c:pt>
                <c:pt idx="30">
                  <c:v>43678</c:v>
                </c:pt>
                <c:pt idx="31">
                  <c:v>43709</c:v>
                </c:pt>
                <c:pt idx="32">
                  <c:v>43739</c:v>
                </c:pt>
                <c:pt idx="33">
                  <c:v>43770</c:v>
                </c:pt>
                <c:pt idx="34">
                  <c:v>43800</c:v>
                </c:pt>
                <c:pt idx="35">
                  <c:v>43831</c:v>
                </c:pt>
                <c:pt idx="36">
                  <c:v>43862</c:v>
                </c:pt>
                <c:pt idx="37">
                  <c:v>43891</c:v>
                </c:pt>
                <c:pt idx="38">
                  <c:v>43922</c:v>
                </c:pt>
                <c:pt idx="39">
                  <c:v>43952</c:v>
                </c:pt>
                <c:pt idx="40">
                  <c:v>43983</c:v>
                </c:pt>
                <c:pt idx="41">
                  <c:v>44013</c:v>
                </c:pt>
                <c:pt idx="42">
                  <c:v>44044</c:v>
                </c:pt>
                <c:pt idx="43">
                  <c:v>44075</c:v>
                </c:pt>
                <c:pt idx="44">
                  <c:v>44105</c:v>
                </c:pt>
                <c:pt idx="45">
                  <c:v>44136</c:v>
                </c:pt>
                <c:pt idx="46">
                  <c:v>44166</c:v>
                </c:pt>
                <c:pt idx="47">
                  <c:v>44197</c:v>
                </c:pt>
                <c:pt idx="48">
                  <c:v>44228</c:v>
                </c:pt>
                <c:pt idx="49">
                  <c:v>44256</c:v>
                </c:pt>
                <c:pt idx="50">
                  <c:v>44287</c:v>
                </c:pt>
                <c:pt idx="51">
                  <c:v>44317</c:v>
                </c:pt>
                <c:pt idx="52">
                  <c:v>44348</c:v>
                </c:pt>
                <c:pt idx="53">
                  <c:v>44378</c:v>
                </c:pt>
                <c:pt idx="54">
                  <c:v>44409</c:v>
                </c:pt>
                <c:pt idx="55">
                  <c:v>44440</c:v>
                </c:pt>
                <c:pt idx="56">
                  <c:v>44470</c:v>
                </c:pt>
                <c:pt idx="57">
                  <c:v>44501</c:v>
                </c:pt>
                <c:pt idx="58">
                  <c:v>44531</c:v>
                </c:pt>
                <c:pt idx="59">
                  <c:v>44562</c:v>
                </c:pt>
              </c:numCache>
            </c:numRef>
          </c:cat>
          <c:val>
            <c:numRef>
              <c:f>СashFlow!$C$18:$BJ$18</c:f>
              <c:numCache>
                <c:formatCode>#,##0</c:formatCode>
                <c:ptCount val="60"/>
                <c:pt idx="4">
                  <c:v>103800</c:v>
                </c:pt>
                <c:pt idx="5">
                  <c:v>155700</c:v>
                </c:pt>
                <c:pt idx="6">
                  <c:v>181650</c:v>
                </c:pt>
                <c:pt idx="7">
                  <c:v>220575</c:v>
                </c:pt>
                <c:pt idx="8">
                  <c:v>259500</c:v>
                </c:pt>
                <c:pt idx="9">
                  <c:v>259500</c:v>
                </c:pt>
                <c:pt idx="10">
                  <c:v>259500</c:v>
                </c:pt>
                <c:pt idx="11">
                  <c:v>259500</c:v>
                </c:pt>
                <c:pt idx="12">
                  <c:v>259500</c:v>
                </c:pt>
                <c:pt idx="13">
                  <c:v>259500</c:v>
                </c:pt>
                <c:pt idx="14">
                  <c:v>259500</c:v>
                </c:pt>
                <c:pt idx="15">
                  <c:v>259500</c:v>
                </c:pt>
                <c:pt idx="16">
                  <c:v>259500</c:v>
                </c:pt>
                <c:pt idx="17">
                  <c:v>259500</c:v>
                </c:pt>
                <c:pt idx="18">
                  <c:v>259500</c:v>
                </c:pt>
                <c:pt idx="19">
                  <c:v>259500</c:v>
                </c:pt>
                <c:pt idx="20">
                  <c:v>259500</c:v>
                </c:pt>
                <c:pt idx="21">
                  <c:v>259500</c:v>
                </c:pt>
                <c:pt idx="22">
                  <c:v>259500</c:v>
                </c:pt>
                <c:pt idx="23">
                  <c:v>259500</c:v>
                </c:pt>
                <c:pt idx="24">
                  <c:v>259500</c:v>
                </c:pt>
                <c:pt idx="25">
                  <c:v>259500</c:v>
                </c:pt>
                <c:pt idx="26">
                  <c:v>259500</c:v>
                </c:pt>
                <c:pt idx="27">
                  <c:v>259500</c:v>
                </c:pt>
                <c:pt idx="28">
                  <c:v>259500</c:v>
                </c:pt>
                <c:pt idx="29">
                  <c:v>259500</c:v>
                </c:pt>
                <c:pt idx="30">
                  <c:v>259500</c:v>
                </c:pt>
                <c:pt idx="31">
                  <c:v>259500</c:v>
                </c:pt>
                <c:pt idx="32">
                  <c:v>259500</c:v>
                </c:pt>
                <c:pt idx="33">
                  <c:v>259500</c:v>
                </c:pt>
                <c:pt idx="34">
                  <c:v>259500</c:v>
                </c:pt>
                <c:pt idx="35">
                  <c:v>259500</c:v>
                </c:pt>
                <c:pt idx="36">
                  <c:v>259500</c:v>
                </c:pt>
                <c:pt idx="37">
                  <c:v>259500</c:v>
                </c:pt>
                <c:pt idx="38">
                  <c:v>259500</c:v>
                </c:pt>
                <c:pt idx="39">
                  <c:v>259500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0238080"/>
        <c:axId val="560235728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СashFlow!$B$66</c15:sqref>
                        </c15:formulaRef>
                      </c:ext>
                    </c:extLst>
                    <c:strCache>
                      <c:ptCount val="1"/>
                      <c:pt idx="0">
                        <c:v>Дивиденды(накопитеьный)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СashFlow!$G$9:$BJ$9</c15:sqref>
                        </c15:formulaRef>
                      </c:ext>
                    </c:extLst>
                    <c:strCache>
                      <c:ptCount val="56"/>
                      <c:pt idx="0">
                        <c:v>июн 17</c:v>
                      </c:pt>
                      <c:pt idx="1">
                        <c:v>июл 17</c:v>
                      </c:pt>
                      <c:pt idx="2">
                        <c:v>авг 17</c:v>
                      </c:pt>
                      <c:pt idx="3">
                        <c:v>сен 17</c:v>
                      </c:pt>
                      <c:pt idx="4">
                        <c:v>окт 17</c:v>
                      </c:pt>
                      <c:pt idx="5">
                        <c:v>ноя 17</c:v>
                      </c:pt>
                      <c:pt idx="6">
                        <c:v>дек 17</c:v>
                      </c:pt>
                      <c:pt idx="7">
                        <c:v>янв 18</c:v>
                      </c:pt>
                      <c:pt idx="8">
                        <c:v>фев 18</c:v>
                      </c:pt>
                      <c:pt idx="9">
                        <c:v>мар 18</c:v>
                      </c:pt>
                      <c:pt idx="10">
                        <c:v>апр 18</c:v>
                      </c:pt>
                      <c:pt idx="11">
                        <c:v>май 18</c:v>
                      </c:pt>
                      <c:pt idx="12">
                        <c:v>июн 18</c:v>
                      </c:pt>
                      <c:pt idx="13">
                        <c:v>июл 18</c:v>
                      </c:pt>
                      <c:pt idx="14">
                        <c:v>авг 18</c:v>
                      </c:pt>
                      <c:pt idx="15">
                        <c:v>сен 18</c:v>
                      </c:pt>
                      <c:pt idx="16">
                        <c:v>окт 18</c:v>
                      </c:pt>
                      <c:pt idx="17">
                        <c:v>ноя 18</c:v>
                      </c:pt>
                      <c:pt idx="18">
                        <c:v>дек 18</c:v>
                      </c:pt>
                      <c:pt idx="19">
                        <c:v>янв 19</c:v>
                      </c:pt>
                      <c:pt idx="20">
                        <c:v>фев 19</c:v>
                      </c:pt>
                      <c:pt idx="21">
                        <c:v>мар 19</c:v>
                      </c:pt>
                      <c:pt idx="22">
                        <c:v>апр 19</c:v>
                      </c:pt>
                      <c:pt idx="23">
                        <c:v>май 19</c:v>
                      </c:pt>
                      <c:pt idx="24">
                        <c:v>июн 19</c:v>
                      </c:pt>
                      <c:pt idx="25">
                        <c:v>июл 19</c:v>
                      </c:pt>
                      <c:pt idx="26">
                        <c:v>авг 19</c:v>
                      </c:pt>
                      <c:pt idx="27">
                        <c:v>сен 19</c:v>
                      </c:pt>
                      <c:pt idx="28">
                        <c:v>окт 19</c:v>
                      </c:pt>
                      <c:pt idx="29">
                        <c:v>ноя 19</c:v>
                      </c:pt>
                      <c:pt idx="30">
                        <c:v>дек 19</c:v>
                      </c:pt>
                      <c:pt idx="31">
                        <c:v>янв 20</c:v>
                      </c:pt>
                      <c:pt idx="32">
                        <c:v>фев 20</c:v>
                      </c:pt>
                      <c:pt idx="33">
                        <c:v>мар 20</c:v>
                      </c:pt>
                      <c:pt idx="34">
                        <c:v>апр 20</c:v>
                      </c:pt>
                      <c:pt idx="35">
                        <c:v>май 20</c:v>
                      </c:pt>
                      <c:pt idx="36">
                        <c:v>июн 20</c:v>
                      </c:pt>
                      <c:pt idx="37">
                        <c:v>июл 20</c:v>
                      </c:pt>
                      <c:pt idx="38">
                        <c:v>авг 20</c:v>
                      </c:pt>
                      <c:pt idx="39">
                        <c:v>сен 20</c:v>
                      </c:pt>
                      <c:pt idx="40">
                        <c:v>окт 20</c:v>
                      </c:pt>
                      <c:pt idx="41">
                        <c:v>ноя 20</c:v>
                      </c:pt>
                      <c:pt idx="42">
                        <c:v>дек 20</c:v>
                      </c:pt>
                      <c:pt idx="43">
                        <c:v>янв 21</c:v>
                      </c:pt>
                      <c:pt idx="44">
                        <c:v>фев 21</c:v>
                      </c:pt>
                      <c:pt idx="45">
                        <c:v>мар 21</c:v>
                      </c:pt>
                      <c:pt idx="46">
                        <c:v>апр 21</c:v>
                      </c:pt>
                      <c:pt idx="47">
                        <c:v>май 21</c:v>
                      </c:pt>
                      <c:pt idx="48">
                        <c:v>июн 21</c:v>
                      </c:pt>
                      <c:pt idx="49">
                        <c:v>июл 21</c:v>
                      </c:pt>
                      <c:pt idx="50">
                        <c:v>авг 21</c:v>
                      </c:pt>
                      <c:pt idx="51">
                        <c:v>сен 21</c:v>
                      </c:pt>
                      <c:pt idx="52">
                        <c:v>окт 21</c:v>
                      </c:pt>
                      <c:pt idx="53">
                        <c:v>ноя 21</c:v>
                      </c:pt>
                      <c:pt idx="54">
                        <c:v>дек 21</c:v>
                      </c:pt>
                      <c:pt idx="55">
                        <c:v>янв 22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СashFlow!$C$66:$BJ$66</c15:sqref>
                        </c15:formulaRef>
                      </c:ext>
                    </c:extLst>
                    <c:numCache>
                      <c:formatCode>#,##0</c:formatCode>
                      <c:ptCount val="60"/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560238080"/>
        <c:scaling>
          <c:orientation val="minMax"/>
          <c:max val="43983"/>
        </c:scaling>
        <c:delete val="0"/>
        <c:axPos val="b"/>
        <c:numFmt formatCode="mmm\ yy" sourceLinked="1"/>
        <c:majorTickMark val="cross"/>
        <c:minorTickMark val="cross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0235728"/>
        <c:crosses val="autoZero"/>
        <c:auto val="1"/>
        <c:lblOffset val="100"/>
        <c:baseTimeUnit val="months"/>
      </c:dateAx>
      <c:valAx>
        <c:axId val="56023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023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Дивиденды(накопитеьный)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СashFlow!$C$9:$BJ$9</c:f>
              <c:numCache>
                <c:formatCode>mmm\ yy</c:formatCode>
                <c:ptCount val="60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  <c:pt idx="13">
                  <c:v>43160</c:v>
                </c:pt>
                <c:pt idx="14">
                  <c:v>43191</c:v>
                </c:pt>
                <c:pt idx="15">
                  <c:v>43221</c:v>
                </c:pt>
                <c:pt idx="16">
                  <c:v>43252</c:v>
                </c:pt>
                <c:pt idx="17">
                  <c:v>43282</c:v>
                </c:pt>
                <c:pt idx="18">
                  <c:v>43313</c:v>
                </c:pt>
                <c:pt idx="19">
                  <c:v>43344</c:v>
                </c:pt>
                <c:pt idx="20">
                  <c:v>43374</c:v>
                </c:pt>
                <c:pt idx="21">
                  <c:v>43405</c:v>
                </c:pt>
                <c:pt idx="22">
                  <c:v>43435</c:v>
                </c:pt>
                <c:pt idx="23">
                  <c:v>43466</c:v>
                </c:pt>
                <c:pt idx="24">
                  <c:v>43497</c:v>
                </c:pt>
                <c:pt idx="25">
                  <c:v>43525</c:v>
                </c:pt>
                <c:pt idx="26">
                  <c:v>43556</c:v>
                </c:pt>
                <c:pt idx="27">
                  <c:v>43586</c:v>
                </c:pt>
                <c:pt idx="28">
                  <c:v>43617</c:v>
                </c:pt>
                <c:pt idx="29">
                  <c:v>43647</c:v>
                </c:pt>
                <c:pt idx="30">
                  <c:v>43678</c:v>
                </c:pt>
                <c:pt idx="31">
                  <c:v>43709</c:v>
                </c:pt>
                <c:pt idx="32">
                  <c:v>43739</c:v>
                </c:pt>
                <c:pt idx="33">
                  <c:v>43770</c:v>
                </c:pt>
                <c:pt idx="34">
                  <c:v>43800</c:v>
                </c:pt>
                <c:pt idx="35">
                  <c:v>43831</c:v>
                </c:pt>
                <c:pt idx="36">
                  <c:v>43862</c:v>
                </c:pt>
                <c:pt idx="37">
                  <c:v>43891</c:v>
                </c:pt>
                <c:pt idx="38">
                  <c:v>43922</c:v>
                </c:pt>
                <c:pt idx="39">
                  <c:v>43952</c:v>
                </c:pt>
                <c:pt idx="40">
                  <c:v>43983</c:v>
                </c:pt>
                <c:pt idx="41">
                  <c:v>44013</c:v>
                </c:pt>
                <c:pt idx="42">
                  <c:v>44044</c:v>
                </c:pt>
                <c:pt idx="43">
                  <c:v>44075</c:v>
                </c:pt>
                <c:pt idx="44">
                  <c:v>44105</c:v>
                </c:pt>
                <c:pt idx="45">
                  <c:v>44136</c:v>
                </c:pt>
                <c:pt idx="46">
                  <c:v>44166</c:v>
                </c:pt>
                <c:pt idx="47">
                  <c:v>44197</c:v>
                </c:pt>
                <c:pt idx="48">
                  <c:v>44228</c:v>
                </c:pt>
                <c:pt idx="49">
                  <c:v>44256</c:v>
                </c:pt>
                <c:pt idx="50">
                  <c:v>44287</c:v>
                </c:pt>
                <c:pt idx="51">
                  <c:v>44317</c:v>
                </c:pt>
                <c:pt idx="52">
                  <c:v>44348</c:v>
                </c:pt>
                <c:pt idx="53">
                  <c:v>44378</c:v>
                </c:pt>
                <c:pt idx="54">
                  <c:v>44409</c:v>
                </c:pt>
                <c:pt idx="55">
                  <c:v>44440</c:v>
                </c:pt>
                <c:pt idx="56">
                  <c:v>44470</c:v>
                </c:pt>
                <c:pt idx="57">
                  <c:v>44501</c:v>
                </c:pt>
                <c:pt idx="58">
                  <c:v>44531</c:v>
                </c:pt>
                <c:pt idx="59">
                  <c:v>44562</c:v>
                </c:pt>
              </c:numCache>
            </c:numRef>
          </c:cat>
          <c:val>
            <c:numRef>
              <c:f>СashFlow!$C$66:$BJ$66</c:f>
              <c:numCache>
                <c:formatCode>#,##0</c:formatCode>
                <c:ptCount val="60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0234552"/>
        <c:axId val="560236512"/>
      </c:lineChart>
      <c:dateAx>
        <c:axId val="560234552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0236512"/>
        <c:crosses val="autoZero"/>
        <c:auto val="1"/>
        <c:lblOffset val="100"/>
        <c:baseTimeUnit val="months"/>
      </c:dateAx>
      <c:valAx>
        <c:axId val="56023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0234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933265" y="1"/>
    <xdr:ext cx="5748617" cy="1680882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twoCellAnchor>
    <xdr:from>
      <xdr:col>0</xdr:col>
      <xdr:colOff>0</xdr:colOff>
      <xdr:row>0</xdr:row>
      <xdr:rowOff>0</xdr:rowOff>
    </xdr:from>
    <xdr:to>
      <xdr:col>11</xdr:col>
      <xdr:colOff>123825</xdr:colOff>
      <xdr:row>68</xdr:row>
      <xdr:rowOff>38100</xdr:rowOff>
    </xdr:to>
    <xdr:sp macro="" textlink="">
      <xdr:nvSpPr>
        <xdr:cNvPr id="1055" name="Rectangle 3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123825</xdr:colOff>
      <xdr:row>68</xdr:row>
      <xdr:rowOff>38100</xdr:rowOff>
    </xdr:to>
    <xdr:sp macro="" textlink="">
      <xdr:nvSpPr>
        <xdr:cNvPr id="4" name="AutoShape 31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123825</xdr:colOff>
      <xdr:row>68</xdr:row>
      <xdr:rowOff>38100</xdr:rowOff>
    </xdr:to>
    <xdr:sp macro="" textlink="">
      <xdr:nvSpPr>
        <xdr:cNvPr id="5" name="AutoShape 31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123825</xdr:colOff>
      <xdr:row>68</xdr:row>
      <xdr:rowOff>38100</xdr:rowOff>
    </xdr:to>
    <xdr:sp macro="" textlink="">
      <xdr:nvSpPr>
        <xdr:cNvPr id="6" name="AutoShape 31"/>
        <xdr:cNvSpPr>
          <a:spLocks noChangeArrowheads="1"/>
        </xdr:cNvSpPr>
      </xdr:nvSpPr>
      <xdr:spPr bwMode="auto">
        <a:xfrm>
          <a:off x="0" y="0"/>
          <a:ext cx="175545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123825</xdr:colOff>
      <xdr:row>68</xdr:row>
      <xdr:rowOff>38100</xdr:rowOff>
    </xdr:to>
    <xdr:sp macro="" textlink="">
      <xdr:nvSpPr>
        <xdr:cNvPr id="7" name="AutoShape 31"/>
        <xdr:cNvSpPr>
          <a:spLocks noChangeArrowheads="1"/>
        </xdr:cNvSpPr>
      </xdr:nvSpPr>
      <xdr:spPr bwMode="auto">
        <a:xfrm>
          <a:off x="0" y="0"/>
          <a:ext cx="175545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123825</xdr:colOff>
      <xdr:row>68</xdr:row>
      <xdr:rowOff>38100</xdr:rowOff>
    </xdr:to>
    <xdr:sp macro="" textlink="">
      <xdr:nvSpPr>
        <xdr:cNvPr id="8" name="AutoShape 31"/>
        <xdr:cNvSpPr>
          <a:spLocks noChangeArrowheads="1"/>
        </xdr:cNvSpPr>
      </xdr:nvSpPr>
      <xdr:spPr bwMode="auto">
        <a:xfrm>
          <a:off x="0" y="0"/>
          <a:ext cx="175545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123825</xdr:colOff>
      <xdr:row>68</xdr:row>
      <xdr:rowOff>38100</xdr:rowOff>
    </xdr:to>
    <xdr:sp macro="" textlink="">
      <xdr:nvSpPr>
        <xdr:cNvPr id="9" name="AutoShape 31"/>
        <xdr:cNvSpPr>
          <a:spLocks noChangeArrowheads="1"/>
        </xdr:cNvSpPr>
      </xdr:nvSpPr>
      <xdr:spPr bwMode="auto">
        <a:xfrm>
          <a:off x="0" y="0"/>
          <a:ext cx="175545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123825</xdr:colOff>
      <xdr:row>68</xdr:row>
      <xdr:rowOff>38100</xdr:rowOff>
    </xdr:to>
    <xdr:sp macro="" textlink="">
      <xdr:nvSpPr>
        <xdr:cNvPr id="10" name="AutoShape 31"/>
        <xdr:cNvSpPr>
          <a:spLocks noChangeArrowheads="1"/>
        </xdr:cNvSpPr>
      </xdr:nvSpPr>
      <xdr:spPr bwMode="auto">
        <a:xfrm>
          <a:off x="0" y="0"/>
          <a:ext cx="175545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123825</xdr:colOff>
      <xdr:row>68</xdr:row>
      <xdr:rowOff>38100</xdr:rowOff>
    </xdr:to>
    <xdr:sp macro="" textlink="">
      <xdr:nvSpPr>
        <xdr:cNvPr id="11" name="AutoShape 31"/>
        <xdr:cNvSpPr>
          <a:spLocks noChangeArrowheads="1"/>
        </xdr:cNvSpPr>
      </xdr:nvSpPr>
      <xdr:spPr bwMode="auto">
        <a:xfrm>
          <a:off x="0" y="0"/>
          <a:ext cx="175545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767601</xdr:colOff>
      <xdr:row>0</xdr:row>
      <xdr:rowOff>1</xdr:rowOff>
    </xdr:from>
    <xdr:to>
      <xdr:col>15</xdr:col>
      <xdr:colOff>448235</xdr:colOff>
      <xdr:row>5</xdr:row>
      <xdr:rowOff>1277471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0"/>
  <sheetViews>
    <sheetView showGridLines="0" tabSelected="1" zoomScaleNormal="100" workbookViewId="0">
      <selection activeCell="C13" sqref="C13"/>
    </sheetView>
  </sheetViews>
  <sheetFormatPr defaultRowHeight="12.75" x14ac:dyDescent="0.2"/>
  <cols>
    <col min="1" max="1" width="2.85546875" customWidth="1"/>
    <col min="2" max="2" width="32.7109375" bestFit="1" customWidth="1"/>
    <col min="3" max="3" width="11.7109375" customWidth="1"/>
    <col min="4" max="4" width="4.5703125" customWidth="1"/>
    <col min="5" max="5" width="15" customWidth="1"/>
    <col min="6" max="6" width="7.7109375" customWidth="1"/>
    <col min="7" max="8" width="10.7109375" bestFit="1" customWidth="1"/>
    <col min="9" max="9" width="11.140625" bestFit="1" customWidth="1"/>
    <col min="10" max="12" width="10.7109375" bestFit="1" customWidth="1"/>
    <col min="13" max="15" width="9.7109375" bestFit="1" customWidth="1"/>
    <col min="16" max="17" width="10.140625" bestFit="1" customWidth="1"/>
    <col min="18" max="18" width="3.28515625" style="184" customWidth="1"/>
    <col min="19" max="19" width="10.7109375" bestFit="1" customWidth="1"/>
    <col min="20" max="21" width="10.140625" style="158" bestFit="1" customWidth="1"/>
    <col min="22" max="22" width="10.5703125" style="158" customWidth="1"/>
  </cols>
  <sheetData>
    <row r="1" spans="2:22" ht="18" x14ac:dyDescent="0.25">
      <c r="B1" s="191" t="s">
        <v>149</v>
      </c>
    </row>
    <row r="3" spans="2:22" x14ac:dyDescent="0.2">
      <c r="B3" s="313" t="s">
        <v>92</v>
      </c>
      <c r="C3" s="314"/>
      <c r="F3" s="157" t="s">
        <v>107</v>
      </c>
    </row>
    <row r="4" spans="2:22" x14ac:dyDescent="0.2">
      <c r="B4" s="157" t="s">
        <v>129</v>
      </c>
      <c r="C4" s="245">
        <v>1</v>
      </c>
      <c r="E4" s="159"/>
      <c r="F4" s="174">
        <v>1</v>
      </c>
      <c r="G4" s="174">
        <v>2</v>
      </c>
      <c r="H4" s="174">
        <v>3</v>
      </c>
      <c r="I4" s="159">
        <v>4</v>
      </c>
      <c r="J4" s="159">
        <v>5</v>
      </c>
      <c r="K4" s="159">
        <v>6</v>
      </c>
      <c r="L4" s="159">
        <v>7</v>
      </c>
      <c r="M4" s="159">
        <v>8</v>
      </c>
      <c r="N4" s="159">
        <v>9</v>
      </c>
      <c r="O4" s="159">
        <v>10</v>
      </c>
      <c r="P4" s="159">
        <v>11</v>
      </c>
      <c r="Q4" s="159">
        <v>12</v>
      </c>
      <c r="R4" s="185"/>
      <c r="S4" s="174">
        <v>0</v>
      </c>
      <c r="T4" s="183" t="s">
        <v>106</v>
      </c>
      <c r="U4" s="183" t="s">
        <v>108</v>
      </c>
      <c r="V4" s="183" t="s">
        <v>109</v>
      </c>
    </row>
    <row r="5" spans="2:22" x14ac:dyDescent="0.2">
      <c r="B5" s="157" t="s">
        <v>130</v>
      </c>
      <c r="C5" s="245">
        <v>100</v>
      </c>
      <c r="E5" s="157" t="s">
        <v>93</v>
      </c>
      <c r="I5" s="158">
        <f>СashFlow!G18</f>
        <v>103800</v>
      </c>
      <c r="J5" s="158">
        <f>СashFlow!H18</f>
        <v>155700</v>
      </c>
      <c r="K5" s="158">
        <f>СashFlow!I18</f>
        <v>181650</v>
      </c>
      <c r="L5" s="158">
        <f>СashFlow!J18</f>
        <v>220575</v>
      </c>
      <c r="M5" s="158">
        <f>СashFlow!K18</f>
        <v>259500</v>
      </c>
      <c r="N5" s="158">
        <f>СashFlow!L18</f>
        <v>259500</v>
      </c>
      <c r="O5" s="158">
        <f>СashFlow!M18</f>
        <v>259500</v>
      </c>
      <c r="P5" s="158">
        <f>СashFlow!N18</f>
        <v>259500</v>
      </c>
      <c r="Q5" s="158">
        <f>СashFlow!O18</f>
        <v>259500</v>
      </c>
      <c r="R5" s="186"/>
      <c r="S5" s="158"/>
      <c r="T5" s="158">
        <f>SUM(F5:Q5)</f>
        <v>1959225</v>
      </c>
      <c r="U5" s="158">
        <f>SUM(СashFlow!N18:Y18)</f>
        <v>3114000</v>
      </c>
      <c r="V5" s="158">
        <f>SUM(СashFlow!Z18:AK18)</f>
        <v>3114000</v>
      </c>
    </row>
    <row r="6" spans="2:22" x14ac:dyDescent="0.2">
      <c r="B6" s="157" t="s">
        <v>85</v>
      </c>
      <c r="C6" s="245">
        <v>1</v>
      </c>
      <c r="E6" s="157"/>
      <c r="I6" s="158"/>
      <c r="J6" s="158"/>
      <c r="K6" s="158"/>
      <c r="L6" s="158"/>
      <c r="M6" s="158"/>
      <c r="N6" s="158"/>
      <c r="O6" s="158"/>
      <c r="P6" s="158"/>
      <c r="Q6" s="158"/>
      <c r="R6" s="186"/>
      <c r="S6" s="158"/>
    </row>
    <row r="7" spans="2:22" x14ac:dyDescent="0.2">
      <c r="C7" s="245"/>
      <c r="E7" s="167" t="s">
        <v>94</v>
      </c>
      <c r="F7" s="164">
        <f>SUM(F8:F12)</f>
        <v>0</v>
      </c>
      <c r="G7" s="164">
        <f t="shared" ref="G7" si="0">SUM(G8:G12)</f>
        <v>0</v>
      </c>
      <c r="H7" s="164">
        <f>SUM(H8:H12)</f>
        <v>0</v>
      </c>
      <c r="I7" s="168">
        <f>СashFlow!G33-I15</f>
        <v>110336</v>
      </c>
      <c r="J7" s="168">
        <f>СashFlow!H33-J15</f>
        <v>121754</v>
      </c>
      <c r="K7" s="168">
        <f>СashFlow!I33-K15</f>
        <v>127463</v>
      </c>
      <c r="L7" s="168">
        <f>СashFlow!J33-L15</f>
        <v>136026.5</v>
      </c>
      <c r="M7" s="168">
        <f>СashFlow!K33-M15</f>
        <v>144590</v>
      </c>
      <c r="N7" s="168">
        <f>СashFlow!L33-N15</f>
        <v>144590</v>
      </c>
      <c r="O7" s="168">
        <f>СashFlow!M33-O15</f>
        <v>144590</v>
      </c>
      <c r="P7" s="168">
        <f>СashFlow!N33-P15</f>
        <v>144590</v>
      </c>
      <c r="Q7" s="168">
        <f>СashFlow!O33-Q15</f>
        <v>144590</v>
      </c>
      <c r="R7" s="186"/>
      <c r="S7" s="168">
        <f>SUM(S8:S12)</f>
        <v>0</v>
      </c>
      <c r="T7" s="168">
        <f>SUM(F7:Q7)</f>
        <v>1218529.5</v>
      </c>
      <c r="U7" s="168">
        <f>SUM(СashFlow!N33:Y33)</f>
        <v>2083920</v>
      </c>
      <c r="V7" s="158">
        <f>SUM(СashFlow!Z33:AK33)</f>
        <v>2083920</v>
      </c>
    </row>
    <row r="8" spans="2:22" x14ac:dyDescent="0.2">
      <c r="B8" s="157" t="s">
        <v>86</v>
      </c>
      <c r="C8" s="247">
        <f>C5*C4*C6</f>
        <v>100</v>
      </c>
      <c r="E8" s="171" t="s">
        <v>98</v>
      </c>
      <c r="I8" s="158">
        <f>СashFlow!G25</f>
        <v>45000</v>
      </c>
      <c r="J8" s="158">
        <f>СashFlow!H25</f>
        <v>45000</v>
      </c>
      <c r="K8" s="158">
        <f>СashFlow!I25</f>
        <v>45000</v>
      </c>
      <c r="L8" s="158">
        <f>СashFlow!J25</f>
        <v>45000</v>
      </c>
      <c r="M8" s="158">
        <f>СashFlow!K25</f>
        <v>45000</v>
      </c>
      <c r="N8" s="158">
        <f>СashFlow!L25</f>
        <v>45000</v>
      </c>
      <c r="O8" s="158">
        <f>СashFlow!M25</f>
        <v>45000</v>
      </c>
      <c r="P8" s="158">
        <f>СashFlow!N25</f>
        <v>45000</v>
      </c>
      <c r="Q8" s="158">
        <f>СashFlow!O25</f>
        <v>45000</v>
      </c>
      <c r="R8" s="186"/>
      <c r="S8" s="158">
        <f>SUM(F8:H8)</f>
        <v>0</v>
      </c>
      <c r="T8" s="158">
        <f t="shared" ref="T8:T9" si="1">SUM(F8:Q8)</f>
        <v>405000</v>
      </c>
      <c r="U8" s="158">
        <f>SUM(СashFlow!N25:Y25)</f>
        <v>540000</v>
      </c>
      <c r="V8" s="158">
        <f>SUM(СashFlow!Z25:AK25)</f>
        <v>540000</v>
      </c>
    </row>
    <row r="9" spans="2:22" x14ac:dyDescent="0.2">
      <c r="C9" s="245"/>
      <c r="E9" s="171" t="s">
        <v>99</v>
      </c>
      <c r="F9" s="158">
        <f>СashFlow!C26</f>
        <v>0</v>
      </c>
      <c r="G9" s="158">
        <f>СashFlow!D26</f>
        <v>0</v>
      </c>
      <c r="H9" s="158">
        <f>СashFlow!E26</f>
        <v>0</v>
      </c>
      <c r="I9" s="158">
        <f>СashFlow!G26</f>
        <v>37500</v>
      </c>
      <c r="J9" s="158">
        <f>СashFlow!H26</f>
        <v>37500</v>
      </c>
      <c r="K9" s="158">
        <f>СashFlow!I26</f>
        <v>37500</v>
      </c>
      <c r="L9" s="158">
        <f>СashFlow!J26</f>
        <v>37500</v>
      </c>
      <c r="M9" s="158">
        <f>СashFlow!K26</f>
        <v>37500</v>
      </c>
      <c r="N9" s="158">
        <f>СashFlow!L26</f>
        <v>37500</v>
      </c>
      <c r="O9" s="158">
        <f>СashFlow!M26</f>
        <v>37500</v>
      </c>
      <c r="P9" s="158">
        <f>СashFlow!N26</f>
        <v>37500</v>
      </c>
      <c r="Q9" s="158">
        <f>СashFlow!O26</f>
        <v>37500</v>
      </c>
      <c r="R9" s="186"/>
      <c r="S9" s="158">
        <f t="shared" ref="S9:S12" si="2">SUM(F9:H9)</f>
        <v>0</v>
      </c>
      <c r="T9" s="158">
        <f t="shared" si="1"/>
        <v>337500</v>
      </c>
      <c r="U9" s="158">
        <f>SUM(СashFlow!N26:Y26)</f>
        <v>450000</v>
      </c>
      <c r="V9" s="158">
        <f>SUM(СashFlow!Z26:AK26)</f>
        <v>450000</v>
      </c>
    </row>
    <row r="10" spans="2:22" x14ac:dyDescent="0.2">
      <c r="B10" s="157" t="s">
        <v>126</v>
      </c>
      <c r="C10" s="246"/>
      <c r="E10" s="171"/>
      <c r="I10" s="158"/>
      <c r="J10" s="158"/>
      <c r="K10" s="158"/>
      <c r="L10" s="158"/>
      <c r="M10" s="158"/>
      <c r="N10" s="158"/>
      <c r="O10" s="158"/>
      <c r="P10" s="158"/>
      <c r="Q10" s="158"/>
      <c r="R10" s="186"/>
      <c r="S10" s="158"/>
    </row>
    <row r="11" spans="2:22" x14ac:dyDescent="0.2">
      <c r="B11" s="157"/>
      <c r="C11" s="246"/>
      <c r="E11" s="171" t="s">
        <v>146</v>
      </c>
      <c r="F11" s="158">
        <f>СashFlow!C32</f>
        <v>0</v>
      </c>
      <c r="G11" s="158">
        <f>СashFlow!D32</f>
        <v>0</v>
      </c>
      <c r="H11" s="158">
        <f>СashFlow!E32</f>
        <v>0</v>
      </c>
      <c r="I11" s="158">
        <f>СashFlow!G32</f>
        <v>15570</v>
      </c>
      <c r="J11" s="158">
        <f>СashFlow!H32</f>
        <v>23355</v>
      </c>
      <c r="K11" s="158">
        <f>СashFlow!I32</f>
        <v>27247.5</v>
      </c>
      <c r="L11" s="158">
        <f>СashFlow!J32</f>
        <v>33086.25</v>
      </c>
      <c r="M11" s="158">
        <f>СashFlow!K32</f>
        <v>38925</v>
      </c>
      <c r="N11" s="158">
        <f>СashFlow!L32</f>
        <v>38925</v>
      </c>
      <c r="O11" s="158">
        <f>СashFlow!M32</f>
        <v>38925</v>
      </c>
      <c r="P11" s="158">
        <f>СashFlow!N32</f>
        <v>38925</v>
      </c>
      <c r="Q11" s="158">
        <f>СashFlow!O32</f>
        <v>38925</v>
      </c>
      <c r="R11" s="186"/>
      <c r="S11" s="158">
        <f t="shared" si="2"/>
        <v>0</v>
      </c>
      <c r="T11" s="158">
        <f>SUM(F11:Q11)</f>
        <v>293883.75</v>
      </c>
      <c r="U11" s="158">
        <f>SUM(СashFlow!N32:Y32)</f>
        <v>467100</v>
      </c>
      <c r="V11" s="158">
        <f>SUM(СashFlow!Z32:AK32)</f>
        <v>467100</v>
      </c>
    </row>
    <row r="12" spans="2:22" x14ac:dyDescent="0.2">
      <c r="B12" s="157" t="s">
        <v>148</v>
      </c>
      <c r="C12" s="246">
        <v>500000</v>
      </c>
      <c r="E12" s="171" t="s">
        <v>100</v>
      </c>
      <c r="I12" s="158">
        <f>I7-SUM(I8:I11)</f>
        <v>12266</v>
      </c>
      <c r="J12" s="158">
        <f t="shared" ref="J12:Q12" si="3">J7-SUM(J8:J11)</f>
        <v>15899</v>
      </c>
      <c r="K12" s="158">
        <f t="shared" si="3"/>
        <v>17715.5</v>
      </c>
      <c r="L12" s="158">
        <f t="shared" si="3"/>
        <v>20440.25</v>
      </c>
      <c r="M12" s="158">
        <f t="shared" si="3"/>
        <v>23165</v>
      </c>
      <c r="N12" s="158">
        <f t="shared" si="3"/>
        <v>23165</v>
      </c>
      <c r="O12" s="158">
        <f t="shared" si="3"/>
        <v>23165</v>
      </c>
      <c r="P12" s="158">
        <f t="shared" si="3"/>
        <v>23165</v>
      </c>
      <c r="Q12" s="158">
        <f t="shared" si="3"/>
        <v>23165</v>
      </c>
      <c r="R12" s="186"/>
      <c r="S12" s="158">
        <f t="shared" si="2"/>
        <v>0</v>
      </c>
      <c r="T12" s="158">
        <f>SUM(F12:Q12)</f>
        <v>182145.75</v>
      </c>
      <c r="U12" s="158">
        <f>U7-SUM(U8:U11)</f>
        <v>626820</v>
      </c>
      <c r="V12" s="158">
        <f>V7-SUM(V8:V11)</f>
        <v>626820</v>
      </c>
    </row>
    <row r="13" spans="2:22" x14ac:dyDescent="0.2">
      <c r="B13" s="157"/>
      <c r="C13" s="158"/>
      <c r="E13" s="175" t="s">
        <v>95</v>
      </c>
      <c r="F13" s="176"/>
      <c r="G13" s="177">
        <f t="shared" ref="G13:Q13" si="4">G5-G7</f>
        <v>0</v>
      </c>
      <c r="H13" s="177">
        <f t="shared" si="4"/>
        <v>0</v>
      </c>
      <c r="I13" s="177">
        <f>I5-I7</f>
        <v>-6536</v>
      </c>
      <c r="J13" s="177">
        <f t="shared" si="4"/>
        <v>33946</v>
      </c>
      <c r="K13" s="177">
        <f t="shared" si="4"/>
        <v>54187</v>
      </c>
      <c r="L13" s="177">
        <f t="shared" si="4"/>
        <v>84548.5</v>
      </c>
      <c r="M13" s="177">
        <f t="shared" si="4"/>
        <v>114910</v>
      </c>
      <c r="N13" s="177">
        <f t="shared" si="4"/>
        <v>114910</v>
      </c>
      <c r="O13" s="177">
        <f t="shared" si="4"/>
        <v>114910</v>
      </c>
      <c r="P13" s="177">
        <f t="shared" si="4"/>
        <v>114910</v>
      </c>
      <c r="Q13" s="177">
        <f t="shared" si="4"/>
        <v>114910</v>
      </c>
      <c r="R13" s="186"/>
      <c r="S13" s="177">
        <f>S5-S7</f>
        <v>0</v>
      </c>
      <c r="T13" s="177">
        <f>T5-T7</f>
        <v>740695.5</v>
      </c>
      <c r="U13" s="177">
        <f>U5-U7</f>
        <v>1030080</v>
      </c>
      <c r="V13" s="177">
        <f>V5-V7</f>
        <v>1030080</v>
      </c>
    </row>
    <row r="14" spans="2:22" x14ac:dyDescent="0.2">
      <c r="B14" s="165" t="s">
        <v>125</v>
      </c>
      <c r="C14" s="166">
        <f>C10+C12</f>
        <v>500000</v>
      </c>
      <c r="E14" s="188" t="s">
        <v>110</v>
      </c>
      <c r="F14" s="188"/>
      <c r="G14" s="188"/>
      <c r="H14" s="188"/>
      <c r="I14" s="190">
        <f>I13/I5</f>
        <v>-6.2967244701348749E-2</v>
      </c>
      <c r="J14" s="190">
        <f t="shared" ref="J14:Q14" si="5">J13/J5</f>
        <v>0.21802183686576751</v>
      </c>
      <c r="K14" s="190">
        <f t="shared" si="5"/>
        <v>0.29830443159922931</v>
      </c>
      <c r="L14" s="190">
        <f t="shared" si="5"/>
        <v>0.38330953190524764</v>
      </c>
      <c r="M14" s="190">
        <f t="shared" si="5"/>
        <v>0.44281310211946051</v>
      </c>
      <c r="N14" s="190">
        <f t="shared" si="5"/>
        <v>0.44281310211946051</v>
      </c>
      <c r="O14" s="190">
        <f t="shared" si="5"/>
        <v>0.44281310211946051</v>
      </c>
      <c r="P14" s="190">
        <f t="shared" si="5"/>
        <v>0.44281310211946051</v>
      </c>
      <c r="Q14" s="190">
        <f t="shared" si="5"/>
        <v>0.44281310211946051</v>
      </c>
      <c r="R14" s="189"/>
      <c r="S14" s="189"/>
      <c r="T14" s="190">
        <f t="shared" ref="T14:V14" si="6">T13/T5</f>
        <v>0.37805535351988667</v>
      </c>
      <c r="U14" s="190">
        <f t="shared" si="6"/>
        <v>0.33078998073217725</v>
      </c>
      <c r="V14" s="190">
        <f t="shared" si="6"/>
        <v>0.33078998073217725</v>
      </c>
    </row>
    <row r="15" spans="2:22" x14ac:dyDescent="0.2">
      <c r="E15" s="157" t="s">
        <v>147</v>
      </c>
      <c r="I15" s="158">
        <f>СashFlow!G28+СashFlow!G29</f>
        <v>19728</v>
      </c>
      <c r="J15" s="158">
        <f>СashFlow!H28+СashFlow!H29</f>
        <v>22842</v>
      </c>
      <c r="K15" s="158">
        <f>СashFlow!I28+СashFlow!I29</f>
        <v>24399</v>
      </c>
      <c r="L15" s="158">
        <f>СashFlow!J28+СashFlow!J29</f>
        <v>26734.5</v>
      </c>
      <c r="M15" s="158">
        <f>СashFlow!K28+СashFlow!K29</f>
        <v>29070</v>
      </c>
      <c r="N15" s="158">
        <f>СashFlow!L28+СashFlow!L29</f>
        <v>29070</v>
      </c>
      <c r="O15" s="158">
        <f>СashFlow!M28+СashFlow!M29</f>
        <v>29070</v>
      </c>
      <c r="P15" s="158">
        <f>СashFlow!N28+СashFlow!N29</f>
        <v>29070</v>
      </c>
      <c r="Q15" s="158">
        <f>СashFlow!O28+СashFlow!O29</f>
        <v>29070</v>
      </c>
      <c r="R15" s="186"/>
      <c r="S15" s="158"/>
      <c r="T15" s="158">
        <f>SUM(F15:Q15)</f>
        <v>239053.5</v>
      </c>
      <c r="U15" s="158">
        <f>SUM(СashFlow!N28:Y29)</f>
        <v>348840</v>
      </c>
      <c r="V15" s="158">
        <f>SUM(СashFlow!Z28:AK29)</f>
        <v>348840</v>
      </c>
    </row>
    <row r="16" spans="2:22" x14ac:dyDescent="0.2">
      <c r="B16" s="157" t="s">
        <v>117</v>
      </c>
      <c r="C16" s="245"/>
      <c r="E16" s="178" t="s">
        <v>97</v>
      </c>
      <c r="F16" s="179"/>
      <c r="G16" s="179"/>
      <c r="H16" s="179"/>
      <c r="I16" s="180">
        <f>I13-I15</f>
        <v>-26264</v>
      </c>
      <c r="J16" s="180">
        <f t="shared" ref="J16:Q16" si="7">J13-J15</f>
        <v>11104</v>
      </c>
      <c r="K16" s="180">
        <f t="shared" si="7"/>
        <v>29788</v>
      </c>
      <c r="L16" s="180">
        <f t="shared" si="7"/>
        <v>57814</v>
      </c>
      <c r="M16" s="180">
        <f t="shared" si="7"/>
        <v>85840</v>
      </c>
      <c r="N16" s="180">
        <f t="shared" si="7"/>
        <v>85840</v>
      </c>
      <c r="O16" s="180">
        <f t="shared" si="7"/>
        <v>85840</v>
      </c>
      <c r="P16" s="180">
        <f t="shared" si="7"/>
        <v>85840</v>
      </c>
      <c r="Q16" s="180">
        <f t="shared" si="7"/>
        <v>85840</v>
      </c>
      <c r="R16" s="186"/>
      <c r="S16" s="180">
        <f>S13</f>
        <v>0</v>
      </c>
      <c r="T16" s="180">
        <f>T13-T15</f>
        <v>501642</v>
      </c>
      <c r="U16" s="180">
        <f>U13-U15</f>
        <v>681240</v>
      </c>
      <c r="V16" s="180">
        <f>V13-V15</f>
        <v>681240</v>
      </c>
    </row>
    <row r="17" spans="2:22" x14ac:dyDescent="0.2">
      <c r="E17" s="157"/>
    </row>
    <row r="18" spans="2:22" x14ac:dyDescent="0.2">
      <c r="B18" s="160" t="s">
        <v>11</v>
      </c>
      <c r="C18" s="161" t="s">
        <v>118</v>
      </c>
      <c r="E18" s="172" t="s">
        <v>96</v>
      </c>
      <c r="F18" s="173">
        <f>SUM(F19:F22)</f>
        <v>0</v>
      </c>
      <c r="G18" s="173">
        <f t="shared" ref="G18:H18" si="8">SUM(G19:G22)</f>
        <v>-500000</v>
      </c>
      <c r="H18" s="173">
        <f t="shared" si="8"/>
        <v>-200000</v>
      </c>
      <c r="I18" s="172"/>
      <c r="J18" s="172"/>
      <c r="K18" s="172"/>
      <c r="L18" s="172"/>
      <c r="M18" s="172"/>
      <c r="N18" s="172"/>
      <c r="O18" s="172"/>
      <c r="P18" s="172"/>
      <c r="Q18" s="172"/>
      <c r="R18" s="187"/>
      <c r="S18" s="173">
        <f>SUM(E18:P18)</f>
        <v>-700000</v>
      </c>
      <c r="T18" s="173"/>
      <c r="U18" s="173"/>
      <c r="V18" s="173"/>
    </row>
    <row r="19" spans="2:22" x14ac:dyDescent="0.2">
      <c r="B19" s="157" t="s">
        <v>111</v>
      </c>
      <c r="C19" s="158">
        <f>C10*C4</f>
        <v>0</v>
      </c>
      <c r="E19" s="157" t="s">
        <v>101</v>
      </c>
      <c r="F19" s="158">
        <f>-СashFlow!D21</f>
        <v>0</v>
      </c>
      <c r="G19" s="158">
        <f>-СashFlow!E21</f>
        <v>0</v>
      </c>
      <c r="H19" s="158">
        <f>-СashFlow!F21</f>
        <v>0</v>
      </c>
      <c r="S19" s="158">
        <f>SUM(E19:P19)</f>
        <v>0</v>
      </c>
    </row>
    <row r="20" spans="2:22" x14ac:dyDescent="0.2">
      <c r="B20" s="157"/>
      <c r="C20" s="158"/>
      <c r="E20" s="157" t="s">
        <v>102</v>
      </c>
      <c r="F20" s="158">
        <f>-СashFlow!D23</f>
        <v>0</v>
      </c>
      <c r="G20" s="158">
        <f>-СashFlow!E23</f>
        <v>-500000</v>
      </c>
      <c r="H20" s="158">
        <f>-СashFlow!F23</f>
        <v>0</v>
      </c>
      <c r="S20" s="158">
        <f>SUM(E20:P20)</f>
        <v>-500000</v>
      </c>
    </row>
    <row r="21" spans="2:22" x14ac:dyDescent="0.2">
      <c r="B21" s="157" t="s">
        <v>87</v>
      </c>
      <c r="C21" s="158">
        <f>C16*C8</f>
        <v>0</v>
      </c>
      <c r="E21" s="157" t="s">
        <v>103</v>
      </c>
      <c r="F21" s="158">
        <f>-СashFlow!D22</f>
        <v>0</v>
      </c>
      <c r="G21" s="158">
        <f>-СashFlow!E22</f>
        <v>0</v>
      </c>
      <c r="H21" s="158">
        <f>-СashFlow!F22</f>
        <v>0</v>
      </c>
      <c r="S21" s="158">
        <f>SUM(E21:P21)</f>
        <v>0</v>
      </c>
    </row>
    <row r="22" spans="2:22" x14ac:dyDescent="0.2">
      <c r="B22" s="157" t="s">
        <v>88</v>
      </c>
      <c r="C22" s="158">
        <f>C12*C4</f>
        <v>500000</v>
      </c>
      <c r="E22" s="157" t="s">
        <v>115</v>
      </c>
      <c r="F22" s="158">
        <f>-СashFlow!D32</f>
        <v>0</v>
      </c>
      <c r="G22" s="158">
        <f>-СashFlow!E32</f>
        <v>0</v>
      </c>
      <c r="H22" s="158">
        <f>-СashFlow!F32</f>
        <v>-200000</v>
      </c>
      <c r="S22" s="158">
        <f>SUM(E22:P22)</f>
        <v>-200000</v>
      </c>
    </row>
    <row r="23" spans="2:22" x14ac:dyDescent="0.2">
      <c r="B23" s="157" t="s">
        <v>90</v>
      </c>
      <c r="C23" s="158">
        <f>Аренда!C21</f>
        <v>0</v>
      </c>
      <c r="E23" s="157"/>
    </row>
    <row r="24" spans="2:22" x14ac:dyDescent="0.2">
      <c r="B24" s="157" t="s">
        <v>91</v>
      </c>
      <c r="C24" s="246">
        <v>200000</v>
      </c>
      <c r="E24" s="181" t="s">
        <v>104</v>
      </c>
      <c r="F24" s="182">
        <f>F13+F18</f>
        <v>0</v>
      </c>
      <c r="G24" s="182">
        <f>G13+G18</f>
        <v>-500000</v>
      </c>
      <c r="H24" s="182">
        <f>H13+H18</f>
        <v>-200000</v>
      </c>
      <c r="I24" s="182">
        <f>I16+I18</f>
        <v>-26264</v>
      </c>
      <c r="J24" s="182">
        <f t="shared" ref="J24:S24" si="9">J16+J18</f>
        <v>11104</v>
      </c>
      <c r="K24" s="182">
        <f t="shared" si="9"/>
        <v>29788</v>
      </c>
      <c r="L24" s="182">
        <f t="shared" si="9"/>
        <v>57814</v>
      </c>
      <c r="M24" s="182">
        <f t="shared" si="9"/>
        <v>85840</v>
      </c>
      <c r="N24" s="182">
        <f t="shared" si="9"/>
        <v>85840</v>
      </c>
      <c r="O24" s="182">
        <f t="shared" si="9"/>
        <v>85840</v>
      </c>
      <c r="P24" s="182">
        <f t="shared" si="9"/>
        <v>85840</v>
      </c>
      <c r="Q24" s="182">
        <f t="shared" si="9"/>
        <v>85840</v>
      </c>
      <c r="R24" s="186"/>
      <c r="S24" s="182">
        <f t="shared" si="9"/>
        <v>-700000</v>
      </c>
      <c r="T24" s="182">
        <f>SUM(I24:Q24)</f>
        <v>501642</v>
      </c>
      <c r="U24" s="182">
        <f>U16</f>
        <v>681240</v>
      </c>
      <c r="V24" s="182">
        <f>V16</f>
        <v>681240</v>
      </c>
    </row>
    <row r="25" spans="2:22" x14ac:dyDescent="0.2">
      <c r="B25" s="162" t="s">
        <v>89</v>
      </c>
      <c r="C25" s="163">
        <f>SUM(C19:C24)</f>
        <v>700000</v>
      </c>
      <c r="E25" s="169" t="s">
        <v>105</v>
      </c>
      <c r="F25" s="170">
        <f>F24</f>
        <v>0</v>
      </c>
      <c r="G25" s="170">
        <f>F25+G24</f>
        <v>-500000</v>
      </c>
      <c r="H25" s="170">
        <f t="shared" ref="H25:K25" si="10">G25+H24</f>
        <v>-700000</v>
      </c>
      <c r="I25" s="170">
        <f t="shared" si="10"/>
        <v>-726264</v>
      </c>
      <c r="J25" s="170">
        <f t="shared" si="10"/>
        <v>-715160</v>
      </c>
      <c r="K25" s="170">
        <f t="shared" si="10"/>
        <v>-685372</v>
      </c>
      <c r="L25" s="170">
        <f t="shared" ref="L25" si="11">K25+L24</f>
        <v>-627558</v>
      </c>
      <c r="M25" s="170">
        <f t="shared" ref="M25" si="12">L25+M24</f>
        <v>-541718</v>
      </c>
      <c r="N25" s="170">
        <f t="shared" ref="N25" si="13">M25+N24</f>
        <v>-455878</v>
      </c>
      <c r="O25" s="170">
        <f t="shared" ref="O25" si="14">N25+O24</f>
        <v>-370038</v>
      </c>
      <c r="P25" s="170">
        <f t="shared" ref="P25" si="15">O25+P24</f>
        <v>-284198</v>
      </c>
      <c r="Q25" s="170">
        <f t="shared" ref="Q25" si="16">P25+Q24</f>
        <v>-198358</v>
      </c>
      <c r="R25" s="186"/>
      <c r="S25" s="170"/>
      <c r="T25" s="170">
        <f>Q25</f>
        <v>-198358</v>
      </c>
      <c r="U25" s="170">
        <f>T25+U24</f>
        <v>482882</v>
      </c>
      <c r="V25" s="170">
        <f>U25+V24</f>
        <v>1164122</v>
      </c>
    </row>
    <row r="29" spans="2:22" x14ac:dyDescent="0.2">
      <c r="B29" s="157"/>
      <c r="C29" s="157"/>
    </row>
    <row r="30" spans="2:22" x14ac:dyDescent="0.2">
      <c r="B30" s="157"/>
      <c r="C30" s="157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J80"/>
  <sheetViews>
    <sheetView showGridLines="0" zoomScale="70" zoomScaleNormal="70" zoomScalePageLayoutView="85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L34" sqref="L34"/>
    </sheetView>
  </sheetViews>
  <sheetFormatPr defaultColWidth="17.28515625" defaultRowHeight="15" customHeight="1" x14ac:dyDescent="0.25"/>
  <cols>
    <col min="1" max="1" width="5.140625" style="10" customWidth="1"/>
    <col min="2" max="2" width="66" style="9" bestFit="1" customWidth="1"/>
    <col min="3" max="4" width="13.42578125" style="9" customWidth="1"/>
    <col min="5" max="6" width="13" style="9" customWidth="1"/>
    <col min="7" max="7" width="16.140625" style="9" customWidth="1"/>
    <col min="8" max="10" width="14.140625" style="9" customWidth="1"/>
    <col min="11" max="11" width="13.42578125" style="368" customWidth="1"/>
    <col min="12" max="17" width="13.42578125" style="9" customWidth="1"/>
    <col min="18" max="18" width="13.42578125" style="5" customWidth="1"/>
    <col min="19" max="19" width="13.42578125" style="312" customWidth="1"/>
    <col min="20" max="20" width="13.42578125" style="5" customWidth="1"/>
    <col min="21" max="24" width="13.42578125" style="9" customWidth="1"/>
    <col min="25" max="29" width="15" style="9" customWidth="1"/>
    <col min="30" max="39" width="15.42578125" style="9" customWidth="1"/>
    <col min="40" max="16384" width="17.28515625" style="9"/>
  </cols>
  <sheetData>
    <row r="1" spans="1:62" ht="18.75" customHeight="1" x14ac:dyDescent="0.25">
      <c r="A1" s="136"/>
      <c r="B1" s="137"/>
      <c r="C1" s="138"/>
      <c r="D1" s="138"/>
      <c r="E1" s="138"/>
      <c r="F1" s="138"/>
      <c r="G1" s="138"/>
      <c r="H1" s="138"/>
      <c r="I1" s="138"/>
      <c r="J1" s="138"/>
      <c r="K1" s="338"/>
      <c r="L1" s="138"/>
      <c r="M1" s="138"/>
      <c r="N1" s="138"/>
      <c r="O1" s="138"/>
      <c r="P1" s="138"/>
      <c r="Q1" s="138"/>
      <c r="R1" s="138"/>
      <c r="S1" s="284"/>
      <c r="T1" s="139"/>
      <c r="U1" s="138"/>
      <c r="V1" s="138"/>
      <c r="W1" s="138"/>
      <c r="X1" s="140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</row>
    <row r="2" spans="1:62" ht="18.75" customHeight="1" x14ac:dyDescent="0.25">
      <c r="A2" s="141"/>
      <c r="B2" s="142"/>
      <c r="C2" s="138"/>
      <c r="D2" s="138"/>
      <c r="E2" s="138"/>
      <c r="F2" s="138"/>
      <c r="G2" s="143"/>
      <c r="H2" s="138"/>
      <c r="I2" s="138"/>
      <c r="J2" s="138"/>
      <c r="K2" s="338"/>
      <c r="L2" s="138"/>
      <c r="M2" s="138"/>
      <c r="N2" s="138"/>
      <c r="O2" s="138"/>
      <c r="P2" s="138"/>
      <c r="Q2" s="138"/>
      <c r="R2" s="138"/>
      <c r="S2" s="285"/>
      <c r="T2" s="144"/>
      <c r="U2" s="138"/>
      <c r="V2" s="138"/>
      <c r="W2" s="138"/>
      <c r="X2" s="140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</row>
    <row r="3" spans="1:62" ht="18.75" customHeight="1" x14ac:dyDescent="0.25">
      <c r="C3" s="138"/>
      <c r="D3" s="138"/>
      <c r="E3" s="138"/>
      <c r="F3" s="138"/>
      <c r="G3" s="145"/>
      <c r="H3" s="138"/>
      <c r="I3" s="138"/>
      <c r="J3" s="138"/>
      <c r="K3" s="338"/>
      <c r="L3" s="138"/>
      <c r="M3" s="138"/>
      <c r="N3" s="138"/>
      <c r="O3" s="138"/>
      <c r="P3" s="138"/>
      <c r="Q3" s="138"/>
      <c r="R3" s="138"/>
      <c r="S3" s="285"/>
      <c r="T3" s="144"/>
      <c r="U3" s="138"/>
      <c r="V3" s="138"/>
      <c r="W3" s="138"/>
      <c r="X3" s="140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</row>
    <row r="4" spans="1:62" ht="17.25" customHeight="1" x14ac:dyDescent="0.25">
      <c r="A4" s="146"/>
      <c r="B4" s="147"/>
      <c r="C4" s="148"/>
      <c r="D4" s="138"/>
      <c r="E4" s="138"/>
      <c r="G4" s="138"/>
      <c r="H4" s="138"/>
      <c r="I4" s="138"/>
      <c r="J4" s="138"/>
      <c r="K4" s="338"/>
      <c r="L4" s="138"/>
      <c r="M4" s="138"/>
      <c r="N4" s="138"/>
      <c r="O4" s="138"/>
      <c r="P4" s="138"/>
      <c r="Q4" s="138"/>
      <c r="R4" s="138"/>
      <c r="S4" s="285"/>
      <c r="T4" s="144"/>
      <c r="U4" s="138"/>
      <c r="V4" s="138"/>
      <c r="W4" s="138"/>
      <c r="X4" s="140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</row>
    <row r="5" spans="1:62" ht="17.25" customHeight="1" x14ac:dyDescent="0.3">
      <c r="A5" s="315" t="s">
        <v>82</v>
      </c>
      <c r="B5" s="316"/>
      <c r="C5" s="149"/>
      <c r="D5" s="149"/>
      <c r="E5" s="149"/>
      <c r="F5" s="149"/>
      <c r="G5" s="149"/>
      <c r="H5" s="149"/>
      <c r="I5" s="149"/>
      <c r="J5" s="138"/>
      <c r="K5" s="338"/>
      <c r="L5" s="138"/>
      <c r="M5" s="138"/>
      <c r="N5" s="138"/>
      <c r="O5" s="138"/>
      <c r="P5" s="138"/>
      <c r="Q5" s="138"/>
      <c r="R5" s="138"/>
      <c r="S5" s="285"/>
      <c r="T5" s="144"/>
      <c r="U5" s="138"/>
      <c r="V5" s="138"/>
      <c r="W5" s="138"/>
      <c r="X5" s="140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</row>
    <row r="6" spans="1:62" ht="45.95" customHeight="1" x14ac:dyDescent="0.25">
      <c r="A6" s="141"/>
      <c r="B6" s="142"/>
      <c r="C6" s="149"/>
      <c r="D6" s="149"/>
      <c r="E6" s="149"/>
      <c r="F6" s="149"/>
      <c r="G6" s="149"/>
      <c r="H6" s="149"/>
      <c r="I6" s="149"/>
      <c r="J6" s="138"/>
      <c r="K6" s="338"/>
      <c r="L6" s="138"/>
      <c r="M6" s="138"/>
      <c r="N6" s="138"/>
      <c r="O6" s="138"/>
      <c r="P6" s="138"/>
      <c r="Q6" s="138"/>
      <c r="R6" s="138"/>
      <c r="S6" s="285"/>
      <c r="T6" s="138"/>
      <c r="U6" s="138"/>
      <c r="V6" s="138"/>
      <c r="W6" s="138"/>
      <c r="X6" s="140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</row>
    <row r="7" spans="1:62" ht="4.7" customHeight="1" thickBot="1" x14ac:dyDescent="0.3">
      <c r="A7" s="150"/>
      <c r="B7" s="151"/>
      <c r="C7" s="152"/>
      <c r="D7" s="152"/>
      <c r="E7" s="152"/>
      <c r="F7" s="152"/>
      <c r="G7" s="153"/>
      <c r="H7" s="153"/>
      <c r="I7" s="153"/>
      <c r="J7" s="154"/>
      <c r="K7" s="339"/>
      <c r="L7" s="154"/>
      <c r="M7" s="154"/>
      <c r="N7" s="154"/>
      <c r="O7" s="154"/>
      <c r="P7" s="154"/>
      <c r="Q7" s="154"/>
      <c r="R7" s="154"/>
      <c r="S7" s="286"/>
      <c r="T7" s="154"/>
      <c r="U7" s="154"/>
      <c r="V7" s="154"/>
      <c r="W7" s="154"/>
      <c r="X7" s="155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</row>
    <row r="8" spans="1:62" ht="17.25" customHeight="1" x14ac:dyDescent="0.25">
      <c r="A8" s="21"/>
      <c r="B8" s="22"/>
      <c r="C8" s="23">
        <v>-3</v>
      </c>
      <c r="D8" s="23">
        <v>-2</v>
      </c>
      <c r="E8" s="23">
        <v>-1</v>
      </c>
      <c r="F8" s="24">
        <v>0</v>
      </c>
      <c r="G8" s="25">
        <v>1</v>
      </c>
      <c r="H8" s="26">
        <v>2</v>
      </c>
      <c r="I8" s="26">
        <v>3</v>
      </c>
      <c r="J8" s="26">
        <v>4</v>
      </c>
      <c r="K8" s="340">
        <v>5</v>
      </c>
      <c r="L8" s="26">
        <v>6</v>
      </c>
      <c r="M8" s="26">
        <v>7</v>
      </c>
      <c r="N8" s="26">
        <v>8</v>
      </c>
      <c r="O8" s="26">
        <v>9</v>
      </c>
      <c r="P8" s="26">
        <v>10</v>
      </c>
      <c r="Q8" s="26">
        <v>11</v>
      </c>
      <c r="R8" s="26">
        <v>12</v>
      </c>
      <c r="S8" s="287">
        <v>13</v>
      </c>
      <c r="T8" s="26">
        <v>14</v>
      </c>
      <c r="U8" s="26">
        <v>15</v>
      </c>
      <c r="V8" s="26">
        <v>16</v>
      </c>
      <c r="W8" s="26">
        <v>17</v>
      </c>
      <c r="X8" s="26">
        <v>18</v>
      </c>
      <c r="Y8" s="26">
        <v>19</v>
      </c>
      <c r="Z8" s="26">
        <v>20</v>
      </c>
      <c r="AA8" s="26">
        <v>21</v>
      </c>
      <c r="AB8" s="26">
        <v>22</v>
      </c>
      <c r="AC8" s="26">
        <v>23</v>
      </c>
      <c r="AD8" s="26">
        <v>24</v>
      </c>
      <c r="AE8" s="26">
        <v>25</v>
      </c>
      <c r="AF8" s="26">
        <v>26</v>
      </c>
      <c r="AG8" s="26">
        <v>27</v>
      </c>
      <c r="AH8" s="26">
        <v>28</v>
      </c>
      <c r="AI8" s="26">
        <v>29</v>
      </c>
      <c r="AJ8" s="26">
        <v>30</v>
      </c>
      <c r="AK8" s="26">
        <v>31</v>
      </c>
      <c r="AL8" s="26">
        <v>32</v>
      </c>
      <c r="AM8" s="26">
        <v>33</v>
      </c>
      <c r="AN8" s="26">
        <v>34</v>
      </c>
      <c r="AO8" s="26">
        <v>35</v>
      </c>
      <c r="AP8" s="26">
        <v>36</v>
      </c>
      <c r="AQ8" s="26">
        <v>37</v>
      </c>
      <c r="AR8" s="26">
        <v>38</v>
      </c>
      <c r="AS8" s="26">
        <v>39</v>
      </c>
      <c r="AT8" s="26">
        <v>40</v>
      </c>
      <c r="AU8" s="26">
        <v>41</v>
      </c>
      <c r="AV8" s="26">
        <v>42</v>
      </c>
      <c r="AW8" s="26">
        <v>43</v>
      </c>
      <c r="AX8" s="26">
        <v>44</v>
      </c>
      <c r="AY8" s="26">
        <v>45</v>
      </c>
      <c r="AZ8" s="26">
        <v>46</v>
      </c>
      <c r="BA8" s="26">
        <v>47</v>
      </c>
      <c r="BB8" s="26">
        <v>48</v>
      </c>
      <c r="BC8" s="26">
        <v>49</v>
      </c>
      <c r="BD8" s="26">
        <v>50</v>
      </c>
      <c r="BE8" s="26">
        <v>51</v>
      </c>
      <c r="BF8" s="26">
        <v>52</v>
      </c>
      <c r="BG8" s="26">
        <v>53</v>
      </c>
      <c r="BH8" s="26">
        <v>54</v>
      </c>
      <c r="BI8" s="26">
        <v>55</v>
      </c>
      <c r="BJ8" s="26">
        <v>56</v>
      </c>
    </row>
    <row r="9" spans="1:62" ht="17.25" customHeight="1" x14ac:dyDescent="0.25">
      <c r="A9" s="27"/>
      <c r="B9" s="28" t="s">
        <v>9</v>
      </c>
      <c r="C9" s="29">
        <v>42767</v>
      </c>
      <c r="D9" s="29">
        <v>42795</v>
      </c>
      <c r="E9" s="29">
        <v>42826</v>
      </c>
      <c r="F9" s="29">
        <v>42856</v>
      </c>
      <c r="G9" s="29">
        <v>42887</v>
      </c>
      <c r="H9" s="29">
        <v>42917</v>
      </c>
      <c r="I9" s="29">
        <v>42948</v>
      </c>
      <c r="J9" s="29">
        <v>42979</v>
      </c>
      <c r="K9" s="341">
        <v>43009</v>
      </c>
      <c r="L9" s="29">
        <v>43040</v>
      </c>
      <c r="M9" s="29">
        <v>43070</v>
      </c>
      <c r="N9" s="29">
        <v>43101</v>
      </c>
      <c r="O9" s="29">
        <v>43132</v>
      </c>
      <c r="P9" s="29">
        <v>43160</v>
      </c>
      <c r="Q9" s="29">
        <v>43191</v>
      </c>
      <c r="R9" s="29">
        <v>43221</v>
      </c>
      <c r="S9" s="288">
        <v>43252</v>
      </c>
      <c r="T9" s="29">
        <v>43282</v>
      </c>
      <c r="U9" s="29">
        <v>43313</v>
      </c>
      <c r="V9" s="29">
        <v>43344</v>
      </c>
      <c r="W9" s="29">
        <v>43374</v>
      </c>
      <c r="X9" s="29">
        <v>43405</v>
      </c>
      <c r="Y9" s="29">
        <v>43435</v>
      </c>
      <c r="Z9" s="29">
        <v>43466</v>
      </c>
      <c r="AA9" s="29">
        <v>43497</v>
      </c>
      <c r="AB9" s="29">
        <v>43525</v>
      </c>
      <c r="AC9" s="29">
        <v>43556</v>
      </c>
      <c r="AD9" s="29">
        <v>43586</v>
      </c>
      <c r="AE9" s="29">
        <v>43617</v>
      </c>
      <c r="AF9" s="29">
        <v>43647</v>
      </c>
      <c r="AG9" s="29">
        <v>43678</v>
      </c>
      <c r="AH9" s="29">
        <v>43709</v>
      </c>
      <c r="AI9" s="29">
        <v>43739</v>
      </c>
      <c r="AJ9" s="29">
        <v>43770</v>
      </c>
      <c r="AK9" s="29">
        <v>43800</v>
      </c>
      <c r="AL9" s="29">
        <v>43831</v>
      </c>
      <c r="AM9" s="29">
        <v>43862</v>
      </c>
      <c r="AN9" s="29">
        <v>43891</v>
      </c>
      <c r="AO9" s="29">
        <v>43922</v>
      </c>
      <c r="AP9" s="29">
        <v>43952</v>
      </c>
      <c r="AQ9" s="29">
        <v>43983</v>
      </c>
      <c r="AR9" s="29">
        <v>44013</v>
      </c>
      <c r="AS9" s="29">
        <v>44044</v>
      </c>
      <c r="AT9" s="29">
        <v>44075</v>
      </c>
      <c r="AU9" s="29">
        <v>44105</v>
      </c>
      <c r="AV9" s="29">
        <v>44136</v>
      </c>
      <c r="AW9" s="29">
        <v>44166</v>
      </c>
      <c r="AX9" s="29">
        <v>44197</v>
      </c>
      <c r="AY9" s="29">
        <v>44228</v>
      </c>
      <c r="AZ9" s="29">
        <v>44256</v>
      </c>
      <c r="BA9" s="29">
        <v>44287</v>
      </c>
      <c r="BB9" s="29">
        <v>44317</v>
      </c>
      <c r="BC9" s="29">
        <v>44348</v>
      </c>
      <c r="BD9" s="29">
        <v>44378</v>
      </c>
      <c r="BE9" s="29">
        <v>44409</v>
      </c>
      <c r="BF9" s="29">
        <v>44440</v>
      </c>
      <c r="BG9" s="29">
        <v>44470</v>
      </c>
      <c r="BH9" s="29">
        <v>44501</v>
      </c>
      <c r="BI9" s="29">
        <v>44531</v>
      </c>
      <c r="BJ9" s="29">
        <v>44562</v>
      </c>
    </row>
    <row r="10" spans="1:62" ht="17.25" customHeight="1" thickBot="1" x14ac:dyDescent="0.3">
      <c r="A10" s="30"/>
      <c r="B10" s="31"/>
      <c r="C10" s="32"/>
      <c r="D10" s="32"/>
      <c r="E10" s="32"/>
      <c r="F10" s="32"/>
      <c r="G10" s="33"/>
      <c r="H10" s="32"/>
      <c r="I10" s="32"/>
      <c r="J10" s="32"/>
      <c r="K10" s="342"/>
      <c r="L10" s="32"/>
      <c r="M10" s="32"/>
      <c r="N10" s="32"/>
      <c r="O10" s="32"/>
      <c r="P10" s="32"/>
      <c r="Q10" s="32"/>
      <c r="R10" s="32"/>
      <c r="S10" s="289"/>
      <c r="T10" s="32"/>
      <c r="U10" s="32"/>
      <c r="V10" s="32"/>
      <c r="W10" s="32"/>
      <c r="X10" s="34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</row>
    <row r="11" spans="1:62" ht="17.25" customHeight="1" thickBot="1" x14ac:dyDescent="0.3">
      <c r="A11" s="30"/>
      <c r="B11" s="35" t="s">
        <v>13</v>
      </c>
      <c r="C11" s="36">
        <f>Модель!C25</f>
        <v>700000</v>
      </c>
      <c r="D11" s="37">
        <f>C70</f>
        <v>700000</v>
      </c>
      <c r="E11" s="37">
        <f t="shared" ref="E11:AM11" si="0">D70</f>
        <v>700000</v>
      </c>
      <c r="F11" s="38">
        <f t="shared" si="0"/>
        <v>200000</v>
      </c>
      <c r="G11" s="39">
        <f t="shared" si="0"/>
        <v>0</v>
      </c>
      <c r="H11" s="37">
        <f t="shared" si="0"/>
        <v>-26264</v>
      </c>
      <c r="I11" s="37">
        <f t="shared" si="0"/>
        <v>-15160</v>
      </c>
      <c r="J11" s="37">
        <f t="shared" si="0"/>
        <v>14628</v>
      </c>
      <c r="K11" s="343">
        <f t="shared" si="0"/>
        <v>72442</v>
      </c>
      <c r="L11" s="37">
        <f t="shared" si="0"/>
        <v>158282</v>
      </c>
      <c r="M11" s="37">
        <f t="shared" si="0"/>
        <v>244122</v>
      </c>
      <c r="N11" s="37">
        <f t="shared" si="0"/>
        <v>329962</v>
      </c>
      <c r="O11" s="37">
        <f t="shared" si="0"/>
        <v>415802</v>
      </c>
      <c r="P11" s="37">
        <f t="shared" si="0"/>
        <v>501642</v>
      </c>
      <c r="Q11" s="37">
        <f t="shared" si="0"/>
        <v>587482</v>
      </c>
      <c r="R11" s="38">
        <f t="shared" si="0"/>
        <v>673322</v>
      </c>
      <c r="S11" s="290">
        <f t="shared" si="0"/>
        <v>759162</v>
      </c>
      <c r="T11" s="270">
        <f t="shared" si="0"/>
        <v>845002</v>
      </c>
      <c r="U11" s="37">
        <f t="shared" si="0"/>
        <v>930842</v>
      </c>
      <c r="V11" s="37">
        <f t="shared" si="0"/>
        <v>1016682</v>
      </c>
      <c r="W11" s="37">
        <f t="shared" si="0"/>
        <v>1102522</v>
      </c>
      <c r="X11" s="37">
        <f t="shared" si="0"/>
        <v>1188362</v>
      </c>
      <c r="Y11" s="37">
        <f t="shared" si="0"/>
        <v>1274202</v>
      </c>
      <c r="Z11" s="37">
        <f t="shared" si="0"/>
        <v>1360042</v>
      </c>
      <c r="AA11" s="37">
        <f t="shared" si="0"/>
        <v>1445882</v>
      </c>
      <c r="AB11" s="37">
        <f t="shared" si="0"/>
        <v>1531722</v>
      </c>
      <c r="AC11" s="37">
        <f t="shared" si="0"/>
        <v>1617562</v>
      </c>
      <c r="AD11" s="37">
        <f t="shared" si="0"/>
        <v>1703402</v>
      </c>
      <c r="AE11" s="37">
        <f t="shared" si="0"/>
        <v>1789242</v>
      </c>
      <c r="AF11" s="37">
        <f t="shared" si="0"/>
        <v>1875082</v>
      </c>
      <c r="AG11" s="37">
        <f t="shared" si="0"/>
        <v>1960922</v>
      </c>
      <c r="AH11" s="37">
        <f t="shared" si="0"/>
        <v>2046762</v>
      </c>
      <c r="AI11" s="37">
        <f t="shared" si="0"/>
        <v>2132602</v>
      </c>
      <c r="AJ11" s="37">
        <f t="shared" si="0"/>
        <v>2218442</v>
      </c>
      <c r="AK11" s="37">
        <f t="shared" si="0"/>
        <v>2304282</v>
      </c>
      <c r="AL11" s="37">
        <f t="shared" si="0"/>
        <v>2390122</v>
      </c>
      <c r="AM11" s="37">
        <f t="shared" si="0"/>
        <v>2475962</v>
      </c>
      <c r="AN11" s="37">
        <f t="shared" ref="AN11" si="1">AM70</f>
        <v>2561802</v>
      </c>
      <c r="AO11" s="37">
        <f t="shared" ref="AO11" si="2">AN70</f>
        <v>2647642</v>
      </c>
      <c r="AP11" s="37">
        <f t="shared" ref="AP11" si="3">AO70</f>
        <v>2733482</v>
      </c>
      <c r="AQ11" s="37">
        <f t="shared" ref="AQ11" si="4">AP70</f>
        <v>2819322</v>
      </c>
      <c r="AR11" s="37">
        <f t="shared" ref="AR11" si="5">AQ70</f>
        <v>2819322</v>
      </c>
      <c r="AS11" s="37">
        <f t="shared" ref="AS11" si="6">AR70</f>
        <v>2819322</v>
      </c>
      <c r="AT11" s="37">
        <f t="shared" ref="AT11" si="7">AS70</f>
        <v>2819322</v>
      </c>
      <c r="AU11" s="37">
        <f t="shared" ref="AU11" si="8">AT70</f>
        <v>2819322</v>
      </c>
      <c r="AV11" s="37">
        <f t="shared" ref="AV11" si="9">AU70</f>
        <v>2819322</v>
      </c>
      <c r="AW11" s="37">
        <f t="shared" ref="AW11" si="10">AV70</f>
        <v>2819322</v>
      </c>
      <c r="AX11" s="37">
        <f t="shared" ref="AX11" si="11">AW70</f>
        <v>2819322</v>
      </c>
      <c r="AY11" s="37">
        <f t="shared" ref="AY11" si="12">AX70</f>
        <v>2819322</v>
      </c>
      <c r="AZ11" s="37">
        <f t="shared" ref="AZ11" si="13">AY70</f>
        <v>2819322</v>
      </c>
      <c r="BA11" s="37">
        <f t="shared" ref="BA11" si="14">AZ70</f>
        <v>2819322</v>
      </c>
      <c r="BB11" s="37">
        <f t="shared" ref="BB11" si="15">BA70</f>
        <v>2819322</v>
      </c>
      <c r="BC11" s="37">
        <f t="shared" ref="BC11" si="16">BB70</f>
        <v>2819322</v>
      </c>
      <c r="BD11" s="37">
        <f t="shared" ref="BD11" si="17">BC70</f>
        <v>2819322</v>
      </c>
      <c r="BE11" s="37">
        <f t="shared" ref="BE11" si="18">BD70</f>
        <v>2819322</v>
      </c>
      <c r="BF11" s="37">
        <f t="shared" ref="BF11" si="19">BE70</f>
        <v>2819322</v>
      </c>
      <c r="BG11" s="37">
        <f t="shared" ref="BG11" si="20">BF70</f>
        <v>2819322</v>
      </c>
      <c r="BH11" s="37">
        <f t="shared" ref="BH11" si="21">BG70</f>
        <v>2819322</v>
      </c>
      <c r="BI11" s="37">
        <f t="shared" ref="BI11" si="22">BH70</f>
        <v>2819322</v>
      </c>
      <c r="BJ11" s="37">
        <f t="shared" ref="BJ11" si="23">BI70</f>
        <v>2819322</v>
      </c>
    </row>
    <row r="12" spans="1:62" ht="17.25" customHeight="1" thickBot="1" x14ac:dyDescent="0.3">
      <c r="A12" s="30"/>
      <c r="B12" s="40"/>
      <c r="C12" s="41"/>
      <c r="D12" s="41"/>
      <c r="E12" s="41"/>
      <c r="F12" s="41"/>
      <c r="G12" s="42"/>
      <c r="H12" s="41"/>
      <c r="I12" s="41"/>
      <c r="J12" s="41"/>
      <c r="K12" s="344"/>
      <c r="L12" s="41"/>
      <c r="M12" s="41"/>
      <c r="N12" s="41"/>
      <c r="O12" s="41"/>
      <c r="P12" s="41"/>
      <c r="Q12" s="41"/>
      <c r="R12" s="41"/>
      <c r="S12" s="291"/>
      <c r="T12" s="41"/>
      <c r="U12" s="41"/>
      <c r="V12" s="41"/>
      <c r="W12" s="41"/>
      <c r="X12" s="43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</row>
    <row r="13" spans="1:62" ht="17.25" customHeight="1" x14ac:dyDescent="0.25">
      <c r="A13" s="30"/>
      <c r="B13" s="44" t="s">
        <v>17</v>
      </c>
      <c r="C13" s="45"/>
      <c r="D13" s="45"/>
      <c r="E13" s="45"/>
      <c r="F13" s="45"/>
      <c r="G13" s="46"/>
      <c r="H13" s="47"/>
      <c r="I13" s="47"/>
      <c r="J13" s="47"/>
      <c r="K13" s="345"/>
      <c r="L13" s="47"/>
      <c r="M13" s="47"/>
      <c r="N13" s="47"/>
      <c r="O13" s="47"/>
      <c r="P13" s="47"/>
      <c r="Q13" s="47"/>
      <c r="R13" s="258"/>
      <c r="S13" s="292"/>
      <c r="T13" s="271"/>
      <c r="U13" s="47"/>
      <c r="V13" s="47"/>
      <c r="W13" s="47"/>
      <c r="X13" s="47"/>
      <c r="Y13" s="47"/>
      <c r="Z13" s="47"/>
      <c r="AA13" s="47"/>
      <c r="AB13" s="47"/>
      <c r="AC13" s="47"/>
      <c r="AD13" s="48"/>
      <c r="AE13" s="47"/>
      <c r="AF13" s="47"/>
      <c r="AG13" s="47"/>
      <c r="AH13" s="48"/>
      <c r="AI13" s="48"/>
      <c r="AJ13" s="48"/>
      <c r="AK13" s="47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9"/>
    </row>
    <row r="14" spans="1:62" ht="15.75" x14ac:dyDescent="0.25">
      <c r="A14" s="30"/>
      <c r="B14" s="50" t="s">
        <v>121</v>
      </c>
      <c r="C14" s="51"/>
      <c r="D14" s="51"/>
      <c r="E14" s="51"/>
      <c r="F14" s="51"/>
      <c r="G14" s="52">
        <f>(Посетители!$K$12)*G16</f>
        <v>51000</v>
      </c>
      <c r="H14" s="52">
        <f>(Посетители!$K$12)*H16</f>
        <v>76500</v>
      </c>
      <c r="I14" s="52">
        <f>(Посетители!$K$12)*I16</f>
        <v>89250</v>
      </c>
      <c r="J14" s="52">
        <f>(Посетители!$K$12)*J16</f>
        <v>108375</v>
      </c>
      <c r="K14" s="346">
        <f>(Посетители!$K$12)*K16</f>
        <v>127500</v>
      </c>
      <c r="L14" s="52">
        <f>(Посетители!$K$12)*L16</f>
        <v>127500</v>
      </c>
      <c r="M14" s="52">
        <f>(Посетители!$K$12)*M16</f>
        <v>127500</v>
      </c>
      <c r="N14" s="52">
        <f>(Посетители!$K$12)*N16</f>
        <v>127500</v>
      </c>
      <c r="O14" s="52">
        <f>(Посетители!$K$12)*O16</f>
        <v>127500</v>
      </c>
      <c r="P14" s="52">
        <f>(Посетители!$K$12)*P16</f>
        <v>127500</v>
      </c>
      <c r="Q14" s="52">
        <f>(Посетители!$K$12)*Q16</f>
        <v>127500</v>
      </c>
      <c r="R14" s="259">
        <f>(Посетители!$K$12)*R16</f>
        <v>127500</v>
      </c>
      <c r="S14" s="293">
        <f>(Посетители!$K$12)*S16</f>
        <v>127500</v>
      </c>
      <c r="T14" s="272">
        <f>(Посетители!$K$12)*T16</f>
        <v>127500</v>
      </c>
      <c r="U14" s="52">
        <f>(Посетители!$K$12)*U16</f>
        <v>127500</v>
      </c>
      <c r="V14" s="52">
        <f>(Посетители!$K$12)*V16</f>
        <v>127500</v>
      </c>
      <c r="W14" s="52">
        <f>(Посетители!$K$12)*W16</f>
        <v>127500</v>
      </c>
      <c r="X14" s="52">
        <f>(Посетители!$K$12)*X16</f>
        <v>127500</v>
      </c>
      <c r="Y14" s="52">
        <f>(Посетители!$K$12)*Y16</f>
        <v>127500</v>
      </c>
      <c r="Z14" s="52">
        <f>(Посетители!$K$12)*Z16</f>
        <v>127500</v>
      </c>
      <c r="AA14" s="52">
        <f>(Посетители!$K$12)*AA16</f>
        <v>127500</v>
      </c>
      <c r="AB14" s="52">
        <f>(Посетители!$K$12)*AB16</f>
        <v>127500</v>
      </c>
      <c r="AC14" s="52">
        <f>(Посетители!$K$12)*AC16</f>
        <v>127500</v>
      </c>
      <c r="AD14" s="52">
        <f>(Посетители!$K$12)*AD16</f>
        <v>127500</v>
      </c>
      <c r="AE14" s="52">
        <f>(Посетители!$K$12)*AE16</f>
        <v>127500</v>
      </c>
      <c r="AF14" s="52">
        <f>(Посетители!$K$12)*AF16</f>
        <v>127500</v>
      </c>
      <c r="AG14" s="52">
        <f>(Посетители!$K$12)*AG16</f>
        <v>127500</v>
      </c>
      <c r="AH14" s="52">
        <f>(Посетители!$K$12)*AH16</f>
        <v>127500</v>
      </c>
      <c r="AI14" s="52">
        <f>(Посетители!$K$12)*AI16</f>
        <v>127500</v>
      </c>
      <c r="AJ14" s="52">
        <f>(Посетители!$K$12)*AJ16</f>
        <v>127500</v>
      </c>
      <c r="AK14" s="52">
        <f>(Посетители!$K$12)*AK16</f>
        <v>127500</v>
      </c>
      <c r="AL14" s="52">
        <f>(Посетители!$K$12)*AL16</f>
        <v>127500</v>
      </c>
      <c r="AM14" s="52">
        <f>(Посетители!$K$12)*AM16</f>
        <v>127500</v>
      </c>
      <c r="AN14" s="52">
        <f>(Посетители!$K$12)*AN16</f>
        <v>127500</v>
      </c>
      <c r="AO14" s="52">
        <f>(Посетители!$K$12)*AO16</f>
        <v>127500</v>
      </c>
      <c r="AP14" s="52">
        <f>(Посетители!$K$12)*AP16</f>
        <v>127500</v>
      </c>
      <c r="AQ14" s="52">
        <f>Посетители!$K$12*AQ16</f>
        <v>0</v>
      </c>
      <c r="AR14" s="52">
        <f>Посетители!$K$12*AR16</f>
        <v>0</v>
      </c>
      <c r="AS14" s="52">
        <f>Посетители!$K$12*AS16</f>
        <v>0</v>
      </c>
      <c r="AT14" s="52">
        <f>Посетители!$K$12*AT16</f>
        <v>0</v>
      </c>
      <c r="AU14" s="52">
        <f>Посетители!$K$12*AU16</f>
        <v>0</v>
      </c>
      <c r="AV14" s="52">
        <f>Посетители!$K$12*AV16</f>
        <v>0</v>
      </c>
      <c r="AW14" s="52">
        <f>Посетители!$K$12*AW16</f>
        <v>0</v>
      </c>
      <c r="AX14" s="52">
        <f>Посетители!$K$12*AX16</f>
        <v>0</v>
      </c>
      <c r="AY14" s="52">
        <f>Посетители!$K$12*AY16</f>
        <v>0</v>
      </c>
      <c r="AZ14" s="52">
        <f>Посетители!$K$12*AZ16</f>
        <v>0</v>
      </c>
      <c r="BA14" s="52">
        <f>Посетители!$K$12*BA16</f>
        <v>0</v>
      </c>
      <c r="BB14" s="52">
        <f>Посетители!$K$12*BB16</f>
        <v>0</v>
      </c>
      <c r="BC14" s="52">
        <f>Посетители!$K$12*BC16</f>
        <v>0</v>
      </c>
      <c r="BD14" s="52">
        <f>Посетители!$K$12*BD16</f>
        <v>0</v>
      </c>
      <c r="BE14" s="52">
        <f>Посетители!$K$12*BE16</f>
        <v>0</v>
      </c>
      <c r="BF14" s="52">
        <f>Посетители!$K$12*BF16</f>
        <v>0</v>
      </c>
      <c r="BG14" s="52">
        <f>Посетители!$K$12*BG16</f>
        <v>0</v>
      </c>
      <c r="BH14" s="52">
        <f>Посетители!$K$12*BH16</f>
        <v>0</v>
      </c>
      <c r="BI14" s="52">
        <f>Посетители!$K$12*BI16</f>
        <v>0</v>
      </c>
      <c r="BJ14" s="52">
        <f>Посетители!$K$12*BJ16</f>
        <v>0</v>
      </c>
    </row>
    <row r="15" spans="1:62" ht="15.75" x14ac:dyDescent="0.25">
      <c r="A15" s="30"/>
      <c r="B15" s="50" t="s">
        <v>122</v>
      </c>
      <c r="C15" s="51"/>
      <c r="D15" s="51"/>
      <c r="E15" s="51"/>
      <c r="F15" s="51"/>
      <c r="G15" s="52">
        <f>(Посетители!$K$13)*СashFlow!G16</f>
        <v>52800</v>
      </c>
      <c r="H15" s="52">
        <f>(Посетители!$K$13)*СashFlow!H16</f>
        <v>79200</v>
      </c>
      <c r="I15" s="52">
        <f>(Посетители!$K$13)*СashFlow!I16</f>
        <v>92400</v>
      </c>
      <c r="J15" s="52">
        <f>(Посетители!$K$13)*СashFlow!J16</f>
        <v>112200</v>
      </c>
      <c r="K15" s="346">
        <f>(Посетители!$K$13)*СashFlow!K16</f>
        <v>132000</v>
      </c>
      <c r="L15" s="52">
        <f>(Посетители!$K$13)*СashFlow!L16</f>
        <v>132000</v>
      </c>
      <c r="M15" s="52">
        <f>(Посетители!$K$13)*СashFlow!M16</f>
        <v>132000</v>
      </c>
      <c r="N15" s="52">
        <f>(Посетители!$K$13)*СashFlow!N16</f>
        <v>132000</v>
      </c>
      <c r="O15" s="52">
        <f>(Посетители!$K$13)*СashFlow!O16</f>
        <v>132000</v>
      </c>
      <c r="P15" s="52">
        <f>(Посетители!$K$13)*СashFlow!P16</f>
        <v>132000</v>
      </c>
      <c r="Q15" s="52">
        <f>(Посетители!$K$13)*СashFlow!Q16</f>
        <v>132000</v>
      </c>
      <c r="R15" s="259">
        <f>(Посетители!$K$13)*СashFlow!R16</f>
        <v>132000</v>
      </c>
      <c r="S15" s="293">
        <f>(Посетители!$K$13)*СashFlow!S16</f>
        <v>132000</v>
      </c>
      <c r="T15" s="272">
        <f>(Посетители!$K$13)*СashFlow!T16</f>
        <v>132000</v>
      </c>
      <c r="U15" s="52">
        <f>(Посетители!$K$13)*СashFlow!U16</f>
        <v>132000</v>
      </c>
      <c r="V15" s="52">
        <f>(Посетители!$K$13)*СashFlow!V16</f>
        <v>132000</v>
      </c>
      <c r="W15" s="52">
        <f>(Посетители!$K$13)*СashFlow!W16</f>
        <v>132000</v>
      </c>
      <c r="X15" s="52">
        <f>(Посетители!$K$13)*СashFlow!X16</f>
        <v>132000</v>
      </c>
      <c r="Y15" s="52">
        <f>(Посетители!$K$13)*СashFlow!Y16</f>
        <v>132000</v>
      </c>
      <c r="Z15" s="52">
        <f>(Посетители!$K$13)*СashFlow!Z16</f>
        <v>132000</v>
      </c>
      <c r="AA15" s="52">
        <f>(Посетители!$K$13)*СashFlow!AA16</f>
        <v>132000</v>
      </c>
      <c r="AB15" s="52">
        <f>(Посетители!$K$13)*СashFlow!AB16</f>
        <v>132000</v>
      </c>
      <c r="AC15" s="52">
        <f>(Посетители!$K$13)*СashFlow!AC16</f>
        <v>132000</v>
      </c>
      <c r="AD15" s="52">
        <f>(Посетители!$K$13)*СashFlow!AD16</f>
        <v>132000</v>
      </c>
      <c r="AE15" s="52">
        <f>(Посетители!$K$13)*СashFlow!AE16</f>
        <v>132000</v>
      </c>
      <c r="AF15" s="52">
        <f>(Посетители!$K$13)*СashFlow!AF16</f>
        <v>132000</v>
      </c>
      <c r="AG15" s="52">
        <f>(Посетители!$K$13)*СashFlow!AG16</f>
        <v>132000</v>
      </c>
      <c r="AH15" s="52">
        <f>(Посетители!$K$13)*СashFlow!AH16</f>
        <v>132000</v>
      </c>
      <c r="AI15" s="52">
        <f>(Посетители!$K$13)*СashFlow!AI16</f>
        <v>132000</v>
      </c>
      <c r="AJ15" s="52">
        <f>(Посетители!$K$13)*СashFlow!AJ16</f>
        <v>132000</v>
      </c>
      <c r="AK15" s="52">
        <f>(Посетители!$K$13)*СashFlow!AK16</f>
        <v>132000</v>
      </c>
      <c r="AL15" s="52">
        <f>(Посетители!$K$13)*СashFlow!AL16</f>
        <v>132000</v>
      </c>
      <c r="AM15" s="52">
        <f>(Посетители!$K$13)*СashFlow!AM16</f>
        <v>132000</v>
      </c>
      <c r="AN15" s="52">
        <f>(Посетители!$K$13)*СashFlow!AN16</f>
        <v>132000</v>
      </c>
      <c r="AO15" s="52">
        <f>(Посетители!$K$13)*СashFlow!AO16</f>
        <v>132000</v>
      </c>
      <c r="AP15" s="52">
        <f>(Посетители!$K$13)*СashFlow!AP16</f>
        <v>132000</v>
      </c>
      <c r="AQ15" s="52">
        <f>Посетители!$K$12*AQ17</f>
        <v>0</v>
      </c>
      <c r="AR15" s="52">
        <f>Посетители!$K$12*AR17</f>
        <v>0</v>
      </c>
      <c r="AS15" s="52">
        <f>Посетители!$K$12*AS17</f>
        <v>0</v>
      </c>
      <c r="AT15" s="52">
        <f>Посетители!$K$12*AT17</f>
        <v>0</v>
      </c>
      <c r="AU15" s="52">
        <f>Посетители!$K$12*AU17</f>
        <v>0</v>
      </c>
      <c r="AV15" s="52">
        <f>Посетители!$K$12*AV17</f>
        <v>0</v>
      </c>
      <c r="AW15" s="52">
        <f>Посетители!$K$12*AW17</f>
        <v>0</v>
      </c>
      <c r="AX15" s="52">
        <f>Посетители!$K$12*AX17</f>
        <v>0</v>
      </c>
      <c r="AY15" s="52">
        <f>Посетители!$K$12*AY17</f>
        <v>0</v>
      </c>
      <c r="AZ15" s="52">
        <f>Посетители!$K$12*AZ17</f>
        <v>0</v>
      </c>
      <c r="BA15" s="52">
        <f>Посетители!$K$12*BA17</f>
        <v>0</v>
      </c>
      <c r="BB15" s="52">
        <f>Посетители!$K$12*BB17</f>
        <v>0</v>
      </c>
      <c r="BC15" s="52">
        <f>Посетители!$K$12*BC17</f>
        <v>0</v>
      </c>
      <c r="BD15" s="52">
        <f>Посетители!$K$12*BD17</f>
        <v>0</v>
      </c>
      <c r="BE15" s="52">
        <f>Посетители!$K$12*BE17</f>
        <v>0</v>
      </c>
      <c r="BF15" s="52">
        <f>Посетители!$K$12*BF17</f>
        <v>0</v>
      </c>
      <c r="BG15" s="52">
        <f>Посетители!$K$12*BG17</f>
        <v>0</v>
      </c>
      <c r="BH15" s="52">
        <f>Посетители!$K$12*BH17</f>
        <v>0</v>
      </c>
      <c r="BI15" s="52">
        <f>Посетители!$K$12*BI17</f>
        <v>0</v>
      </c>
      <c r="BJ15" s="52">
        <f>Посетители!$K$12*BJ17</f>
        <v>0</v>
      </c>
    </row>
    <row r="16" spans="1:62" ht="15.75" x14ac:dyDescent="0.25">
      <c r="A16" s="54"/>
      <c r="B16" s="55" t="s">
        <v>78</v>
      </c>
      <c r="C16" s="51"/>
      <c r="D16" s="51"/>
      <c r="E16" s="51"/>
      <c r="F16" s="51"/>
      <c r="G16" s="56">
        <v>0.4</v>
      </c>
      <c r="H16" s="56">
        <v>0.6</v>
      </c>
      <c r="I16" s="56">
        <v>0.7</v>
      </c>
      <c r="J16" s="56">
        <v>0.85</v>
      </c>
      <c r="K16" s="347">
        <v>1</v>
      </c>
      <c r="L16" s="56">
        <v>1</v>
      </c>
      <c r="M16" s="56">
        <v>1</v>
      </c>
      <c r="N16" s="56">
        <v>1</v>
      </c>
      <c r="O16" s="56">
        <v>1</v>
      </c>
      <c r="P16" s="56">
        <v>1</v>
      </c>
      <c r="Q16" s="56">
        <v>1</v>
      </c>
      <c r="R16" s="56">
        <v>1</v>
      </c>
      <c r="S16" s="56">
        <v>1</v>
      </c>
      <c r="T16" s="56">
        <v>1</v>
      </c>
      <c r="U16" s="56">
        <v>1</v>
      </c>
      <c r="V16" s="56">
        <v>1</v>
      </c>
      <c r="W16" s="56">
        <v>1</v>
      </c>
      <c r="X16" s="56">
        <v>1</v>
      </c>
      <c r="Y16" s="56">
        <v>1</v>
      </c>
      <c r="Z16" s="56">
        <v>1</v>
      </c>
      <c r="AA16" s="56">
        <v>1</v>
      </c>
      <c r="AB16" s="56">
        <v>1</v>
      </c>
      <c r="AC16" s="56">
        <v>1</v>
      </c>
      <c r="AD16" s="56">
        <v>1</v>
      </c>
      <c r="AE16" s="56">
        <v>1</v>
      </c>
      <c r="AF16" s="56">
        <v>1</v>
      </c>
      <c r="AG16" s="56">
        <v>1</v>
      </c>
      <c r="AH16" s="56">
        <v>1</v>
      </c>
      <c r="AI16" s="56">
        <v>1</v>
      </c>
      <c r="AJ16" s="56">
        <v>1</v>
      </c>
      <c r="AK16" s="56">
        <v>1</v>
      </c>
      <c r="AL16" s="56">
        <v>1</v>
      </c>
      <c r="AM16" s="56">
        <v>1</v>
      </c>
      <c r="AN16" s="56">
        <v>1</v>
      </c>
      <c r="AO16" s="56">
        <v>1</v>
      </c>
      <c r="AP16" s="56">
        <v>1</v>
      </c>
      <c r="AQ16" s="52">
        <f>Посетители!$K$12*AQ18</f>
        <v>0</v>
      </c>
      <c r="AR16" s="52">
        <f>Посетители!$K$12*AR18</f>
        <v>0</v>
      </c>
      <c r="AS16" s="52">
        <f>Посетители!$K$12*AS18</f>
        <v>0</v>
      </c>
      <c r="AT16" s="52">
        <f>Посетители!$K$12*AT18</f>
        <v>0</v>
      </c>
      <c r="AU16" s="52">
        <f>Посетители!$K$12*AU18</f>
        <v>0</v>
      </c>
      <c r="AV16" s="52">
        <f>Посетители!$K$12*AV18</f>
        <v>0</v>
      </c>
      <c r="AW16" s="52">
        <f>Посетители!$K$12*AW18</f>
        <v>0</v>
      </c>
      <c r="AX16" s="52">
        <f>Посетители!$K$12*AX18</f>
        <v>0</v>
      </c>
      <c r="AY16" s="52">
        <f>Посетители!$K$12*AY18</f>
        <v>0</v>
      </c>
      <c r="AZ16" s="52">
        <f>Посетители!$K$12*AZ18</f>
        <v>0</v>
      </c>
      <c r="BA16" s="52">
        <f>Посетители!$K$12*BA18</f>
        <v>0</v>
      </c>
      <c r="BB16" s="52">
        <f>Посетители!$K$12*BB18</f>
        <v>0</v>
      </c>
      <c r="BC16" s="52">
        <f>Посетители!$K$12*BC18</f>
        <v>0</v>
      </c>
      <c r="BD16" s="52">
        <f>Посетители!$K$12*BD18</f>
        <v>0</v>
      </c>
      <c r="BE16" s="52">
        <f>Посетители!$K$12*BE18</f>
        <v>0</v>
      </c>
      <c r="BF16" s="52">
        <f>Посетители!$K$12*BF18</f>
        <v>0</v>
      </c>
      <c r="BG16" s="52">
        <f>Посетители!$K$12*BG18</f>
        <v>0</v>
      </c>
      <c r="BH16" s="52">
        <f>Посетители!$K$12*BH18</f>
        <v>0</v>
      </c>
      <c r="BI16" s="52">
        <f>Посетители!$K$12*BI18</f>
        <v>0</v>
      </c>
      <c r="BJ16" s="52">
        <f>Посетители!$K$12*BJ18</f>
        <v>0</v>
      </c>
    </row>
    <row r="17" spans="1:62" s="156" customFormat="1" ht="16.5" thickBot="1" x14ac:dyDescent="0.3">
      <c r="A17" s="57"/>
      <c r="B17" s="58" t="s">
        <v>80</v>
      </c>
      <c r="C17" s="59"/>
      <c r="D17" s="59"/>
      <c r="E17" s="59"/>
      <c r="F17" s="59"/>
      <c r="G17" s="60"/>
      <c r="H17" s="60"/>
      <c r="I17" s="60"/>
      <c r="J17" s="60"/>
      <c r="K17" s="348"/>
      <c r="L17" s="60"/>
      <c r="M17" s="60"/>
      <c r="N17" s="60"/>
      <c r="O17" s="60"/>
      <c r="P17" s="60"/>
      <c r="Q17" s="60"/>
      <c r="R17" s="260"/>
      <c r="S17" s="294"/>
      <c r="T17" s="273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52">
        <f>Посетители!$K$12*AQ19</f>
        <v>0</v>
      </c>
      <c r="AR17" s="52">
        <f>Посетители!$K$12*AR19</f>
        <v>0</v>
      </c>
      <c r="AS17" s="52">
        <f>Посетители!$K$12*AS19</f>
        <v>0</v>
      </c>
      <c r="AT17" s="52">
        <f>Посетители!$K$12*AT19</f>
        <v>0</v>
      </c>
      <c r="AU17" s="52">
        <f>Посетители!$K$12*AU19</f>
        <v>0</v>
      </c>
      <c r="AV17" s="52">
        <f>Посетители!$K$12*AV19</f>
        <v>0</v>
      </c>
      <c r="AW17" s="52">
        <f>Посетители!$K$12*AW19</f>
        <v>0</v>
      </c>
      <c r="AX17" s="52">
        <f>Посетители!$K$12*AX19</f>
        <v>0</v>
      </c>
      <c r="AY17" s="52">
        <f>Посетители!$K$12*AY19</f>
        <v>0</v>
      </c>
      <c r="AZ17" s="52">
        <f>Посетители!$K$12*AZ19</f>
        <v>0</v>
      </c>
      <c r="BA17" s="52">
        <f>Посетители!$K$12*BA19</f>
        <v>0</v>
      </c>
      <c r="BB17" s="52">
        <f>Посетители!$K$12*BB19</f>
        <v>0</v>
      </c>
      <c r="BC17" s="52">
        <f>Посетители!$K$12*BC19</f>
        <v>0</v>
      </c>
      <c r="BD17" s="52">
        <f>Посетители!$K$12*BD19</f>
        <v>0</v>
      </c>
      <c r="BE17" s="52">
        <f>Посетители!$K$12*BE19</f>
        <v>0</v>
      </c>
      <c r="BF17" s="52">
        <f>Посетители!$K$12*BF19</f>
        <v>0</v>
      </c>
      <c r="BG17" s="52">
        <f>Посетители!$K$12*BG19</f>
        <v>0</v>
      </c>
      <c r="BH17" s="52">
        <f>Посетители!$K$12*BH19</f>
        <v>0</v>
      </c>
      <c r="BI17" s="52">
        <f>Посетители!$K$12*BI19</f>
        <v>0</v>
      </c>
      <c r="BJ17" s="52">
        <f>Посетители!$K$12*BJ19</f>
        <v>0</v>
      </c>
    </row>
    <row r="18" spans="1:62" ht="16.5" thickBot="1" x14ac:dyDescent="0.3">
      <c r="A18" s="30"/>
      <c r="B18" s="61" t="s">
        <v>18</v>
      </c>
      <c r="C18" s="62"/>
      <c r="D18" s="62"/>
      <c r="E18" s="62"/>
      <c r="F18" s="62"/>
      <c r="G18" s="63">
        <f t="shared" ref="G18:AL18" si="24">SUM(G14:G15)</f>
        <v>103800</v>
      </c>
      <c r="H18" s="64">
        <f t="shared" si="24"/>
        <v>155700</v>
      </c>
      <c r="I18" s="64">
        <f t="shared" si="24"/>
        <v>181650</v>
      </c>
      <c r="J18" s="64">
        <f t="shared" si="24"/>
        <v>220575</v>
      </c>
      <c r="K18" s="349">
        <f t="shared" si="24"/>
        <v>259500</v>
      </c>
      <c r="L18" s="64">
        <f t="shared" si="24"/>
        <v>259500</v>
      </c>
      <c r="M18" s="64">
        <f t="shared" si="24"/>
        <v>259500</v>
      </c>
      <c r="N18" s="64">
        <f t="shared" si="24"/>
        <v>259500</v>
      </c>
      <c r="O18" s="64">
        <f t="shared" si="24"/>
        <v>259500</v>
      </c>
      <c r="P18" s="64">
        <f t="shared" si="24"/>
        <v>259500</v>
      </c>
      <c r="Q18" s="64">
        <f t="shared" si="24"/>
        <v>259500</v>
      </c>
      <c r="R18" s="261">
        <f t="shared" si="24"/>
        <v>259500</v>
      </c>
      <c r="S18" s="295">
        <f t="shared" si="24"/>
        <v>259500</v>
      </c>
      <c r="T18" s="274">
        <f t="shared" si="24"/>
        <v>259500</v>
      </c>
      <c r="U18" s="63">
        <f t="shared" si="24"/>
        <v>259500</v>
      </c>
      <c r="V18" s="63">
        <f t="shared" si="24"/>
        <v>259500</v>
      </c>
      <c r="W18" s="63">
        <f t="shared" si="24"/>
        <v>259500</v>
      </c>
      <c r="X18" s="63">
        <f t="shared" si="24"/>
        <v>259500</v>
      </c>
      <c r="Y18" s="63">
        <f t="shared" si="24"/>
        <v>259500</v>
      </c>
      <c r="Z18" s="63">
        <f t="shared" si="24"/>
        <v>259500</v>
      </c>
      <c r="AA18" s="63">
        <f t="shared" si="24"/>
        <v>259500</v>
      </c>
      <c r="AB18" s="63">
        <f t="shared" si="24"/>
        <v>259500</v>
      </c>
      <c r="AC18" s="63">
        <f t="shared" si="24"/>
        <v>259500</v>
      </c>
      <c r="AD18" s="63">
        <f t="shared" si="24"/>
        <v>259500</v>
      </c>
      <c r="AE18" s="63">
        <f t="shared" si="24"/>
        <v>259500</v>
      </c>
      <c r="AF18" s="63">
        <f t="shared" si="24"/>
        <v>259500</v>
      </c>
      <c r="AG18" s="63">
        <f t="shared" si="24"/>
        <v>259500</v>
      </c>
      <c r="AH18" s="63">
        <f t="shared" si="24"/>
        <v>259500</v>
      </c>
      <c r="AI18" s="63">
        <f t="shared" si="24"/>
        <v>259500</v>
      </c>
      <c r="AJ18" s="63">
        <f t="shared" si="24"/>
        <v>259500</v>
      </c>
      <c r="AK18" s="63">
        <f t="shared" si="24"/>
        <v>259500</v>
      </c>
      <c r="AL18" s="63">
        <f t="shared" si="24"/>
        <v>259500</v>
      </c>
      <c r="AM18" s="63">
        <f t="shared" ref="AM18:AP18" si="25">SUM(AM14:AM15)</f>
        <v>259500</v>
      </c>
      <c r="AN18" s="63">
        <f t="shared" si="25"/>
        <v>259500</v>
      </c>
      <c r="AO18" s="63">
        <f t="shared" si="25"/>
        <v>259500</v>
      </c>
      <c r="AP18" s="63">
        <f t="shared" si="25"/>
        <v>259500</v>
      </c>
      <c r="AQ18" s="52">
        <f>Посетители!$K$12*AQ20</f>
        <v>0</v>
      </c>
      <c r="AR18" s="52">
        <f>Посетители!$K$12*AR20</f>
        <v>0</v>
      </c>
      <c r="AS18" s="52">
        <f>Посетители!$K$12*AS20</f>
        <v>0</v>
      </c>
      <c r="AT18" s="52">
        <f>Посетители!$K$12*AT20</f>
        <v>0</v>
      </c>
      <c r="AU18" s="52">
        <f>Посетители!$K$12*AU20</f>
        <v>0</v>
      </c>
      <c r="AV18" s="52">
        <f>Посетители!$K$12*AV20</f>
        <v>0</v>
      </c>
      <c r="AW18" s="52">
        <f>Посетители!$K$12*AW20</f>
        <v>0</v>
      </c>
      <c r="AX18" s="52">
        <f>Посетители!$K$12*AX20</f>
        <v>0</v>
      </c>
      <c r="AY18" s="52">
        <f>Посетители!$K$12*AY20</f>
        <v>0</v>
      </c>
      <c r="AZ18" s="52">
        <f>Посетители!$K$12*AZ20</f>
        <v>0</v>
      </c>
      <c r="BA18" s="52">
        <f>Посетители!$K$12*BA20</f>
        <v>0</v>
      </c>
      <c r="BB18" s="52">
        <f>Посетители!$K$12*BB20</f>
        <v>0</v>
      </c>
      <c r="BC18" s="52">
        <f>Посетители!$K$12*BC20</f>
        <v>0</v>
      </c>
      <c r="BD18" s="52">
        <f>Посетители!$K$12*BD20</f>
        <v>0</v>
      </c>
      <c r="BE18" s="52">
        <f>Посетители!$K$12*BE20</f>
        <v>0</v>
      </c>
      <c r="BF18" s="52">
        <f>Посетители!$K$12*BF20</f>
        <v>0</v>
      </c>
      <c r="BG18" s="52">
        <f>Посетители!$K$12*BG20</f>
        <v>0</v>
      </c>
      <c r="BH18" s="52">
        <f>Посетители!$K$12*BH20</f>
        <v>0</v>
      </c>
      <c r="BI18" s="52">
        <f>Посетители!$K$12*BI20</f>
        <v>0</v>
      </c>
      <c r="BJ18" s="52">
        <f>Посетители!$K$12*BJ20</f>
        <v>0</v>
      </c>
    </row>
    <row r="19" spans="1:62" s="10" customFormat="1" ht="15.75" x14ac:dyDescent="0.25">
      <c r="A19" s="30"/>
      <c r="B19" s="65" t="s">
        <v>79</v>
      </c>
      <c r="C19" s="66"/>
      <c r="D19" s="66"/>
      <c r="E19" s="66"/>
      <c r="F19" s="66"/>
      <c r="G19" s="67"/>
      <c r="H19" s="67"/>
      <c r="I19" s="67"/>
      <c r="J19" s="67"/>
      <c r="K19" s="350"/>
      <c r="L19" s="67"/>
      <c r="M19" s="67"/>
      <c r="N19" s="67"/>
      <c r="O19" s="67"/>
      <c r="P19" s="67"/>
      <c r="Q19" s="67"/>
      <c r="R19" s="262"/>
      <c r="S19" s="296"/>
      <c r="T19" s="275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52">
        <f>Посетители!$K$12*AQ21</f>
        <v>0</v>
      </c>
      <c r="AR19" s="52">
        <f>Посетители!$K$12*AR21</f>
        <v>0</v>
      </c>
      <c r="AS19" s="52">
        <f>Посетители!$K$12*AS21</f>
        <v>0</v>
      </c>
      <c r="AT19" s="52">
        <f>Посетители!$K$12*AT21</f>
        <v>0</v>
      </c>
      <c r="AU19" s="52">
        <f>Посетители!$K$12*AU21</f>
        <v>0</v>
      </c>
      <c r="AV19" s="52">
        <f>Посетители!$K$12*AV21</f>
        <v>0</v>
      </c>
      <c r="AW19" s="52">
        <f>Посетители!$K$12*AW21</f>
        <v>0</v>
      </c>
      <c r="AX19" s="52">
        <f>Посетители!$K$12*AX21</f>
        <v>0</v>
      </c>
      <c r="AY19" s="52">
        <f>Посетители!$K$12*AY21</f>
        <v>0</v>
      </c>
      <c r="AZ19" s="52">
        <f>Посетители!$K$12*AZ21</f>
        <v>0</v>
      </c>
      <c r="BA19" s="52">
        <f>Посетители!$K$12*BA21</f>
        <v>0</v>
      </c>
      <c r="BB19" s="52">
        <f>Посетители!$K$12*BB21</f>
        <v>0</v>
      </c>
      <c r="BC19" s="52">
        <f>Посетители!$K$12*BC21</f>
        <v>0</v>
      </c>
      <c r="BD19" s="52">
        <f>Посетители!$K$12*BD21</f>
        <v>0</v>
      </c>
      <c r="BE19" s="52">
        <f>Посетители!$K$12*BE21</f>
        <v>0</v>
      </c>
      <c r="BF19" s="52">
        <f>Посетители!$K$12*BF21</f>
        <v>0</v>
      </c>
      <c r="BG19" s="52">
        <f>Посетители!$K$12*BG21</f>
        <v>0</v>
      </c>
      <c r="BH19" s="52">
        <f>Посетители!$K$12*BH21</f>
        <v>0</v>
      </c>
      <c r="BI19" s="52">
        <f>Посетители!$K$12*BI21</f>
        <v>0</v>
      </c>
      <c r="BJ19" s="52">
        <f>Посетители!$K$12*BJ21</f>
        <v>0</v>
      </c>
    </row>
    <row r="20" spans="1:62" ht="15.75" x14ac:dyDescent="0.25">
      <c r="A20" s="30"/>
      <c r="B20" s="68" t="s">
        <v>19</v>
      </c>
      <c r="C20" s="66"/>
      <c r="D20" s="51"/>
      <c r="E20" s="51"/>
      <c r="F20" s="51"/>
      <c r="G20" s="69"/>
      <c r="H20" s="69"/>
      <c r="I20" s="69"/>
      <c r="J20" s="69"/>
      <c r="K20" s="351"/>
      <c r="L20" s="69"/>
      <c r="M20" s="69"/>
      <c r="N20" s="69"/>
      <c r="O20" s="69"/>
      <c r="P20" s="69"/>
      <c r="Q20" s="69"/>
      <c r="R20" s="263"/>
      <c r="S20" s="297"/>
      <c r="T20" s="276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52">
        <f>Посетители!$K$12*AQ22</f>
        <v>0</v>
      </c>
      <c r="AR20" s="52">
        <f>Посетители!$K$12*AR22</f>
        <v>0</v>
      </c>
      <c r="AS20" s="52">
        <f>Посетители!$K$12*AS22</f>
        <v>0</v>
      </c>
      <c r="AT20" s="52">
        <f>Посетители!$K$12*AT22</f>
        <v>0</v>
      </c>
      <c r="AU20" s="52">
        <f>Посетители!$K$12*AU22</f>
        <v>0</v>
      </c>
      <c r="AV20" s="52">
        <f>Посетители!$K$12*AV22</f>
        <v>0</v>
      </c>
      <c r="AW20" s="52">
        <f>Посетители!$K$12*AW22</f>
        <v>0</v>
      </c>
      <c r="AX20" s="52">
        <f>Посетители!$K$12*AX22</f>
        <v>0</v>
      </c>
      <c r="AY20" s="52">
        <f>Посетители!$K$12*AY22</f>
        <v>0</v>
      </c>
      <c r="AZ20" s="52">
        <f>Посетители!$K$12*AZ22</f>
        <v>0</v>
      </c>
      <c r="BA20" s="52">
        <f>Посетители!$K$12*BA22</f>
        <v>0</v>
      </c>
      <c r="BB20" s="52">
        <f>Посетители!$K$12*BB22</f>
        <v>0</v>
      </c>
      <c r="BC20" s="52">
        <f>Посетители!$K$12*BC22</f>
        <v>0</v>
      </c>
      <c r="BD20" s="52">
        <f>Посетители!$K$12*BD22</f>
        <v>0</v>
      </c>
      <c r="BE20" s="52">
        <f>Посетители!$K$12*BE22</f>
        <v>0</v>
      </c>
      <c r="BF20" s="52">
        <f>Посетители!$K$12*BF22</f>
        <v>0</v>
      </c>
      <c r="BG20" s="52">
        <f>Посетители!$K$12*BG22</f>
        <v>0</v>
      </c>
      <c r="BH20" s="52">
        <f>Посетители!$K$12*BH22</f>
        <v>0</v>
      </c>
      <c r="BI20" s="52">
        <f>Посетители!$K$12*BI22</f>
        <v>0</v>
      </c>
      <c r="BJ20" s="52">
        <f>Посетители!$K$12*BJ22</f>
        <v>0</v>
      </c>
    </row>
    <row r="21" spans="1:62" s="257" customFormat="1" ht="15.75" x14ac:dyDescent="0.25">
      <c r="A21" s="70"/>
      <c r="B21" s="254" t="s">
        <v>154</v>
      </c>
      <c r="C21" s="255"/>
      <c r="D21" s="256"/>
      <c r="E21" s="256">
        <f>Модель!C19/2</f>
        <v>0</v>
      </c>
      <c r="F21" s="256">
        <f>E21</f>
        <v>0</v>
      </c>
      <c r="G21" s="248">
        <f>G18*5%</f>
        <v>5190</v>
      </c>
      <c r="H21" s="248">
        <f t="shared" ref="H21:AP21" si="26">H18*5%</f>
        <v>7785</v>
      </c>
      <c r="I21" s="248">
        <f t="shared" si="26"/>
        <v>9082.5</v>
      </c>
      <c r="J21" s="248">
        <f t="shared" si="26"/>
        <v>11028.75</v>
      </c>
      <c r="K21" s="352">
        <f t="shared" si="26"/>
        <v>12975</v>
      </c>
      <c r="L21" s="248">
        <f t="shared" si="26"/>
        <v>12975</v>
      </c>
      <c r="M21" s="248">
        <f t="shared" si="26"/>
        <v>12975</v>
      </c>
      <c r="N21" s="248">
        <f t="shared" si="26"/>
        <v>12975</v>
      </c>
      <c r="O21" s="248">
        <f t="shared" si="26"/>
        <v>12975</v>
      </c>
      <c r="P21" s="248">
        <f t="shared" si="26"/>
        <v>12975</v>
      </c>
      <c r="Q21" s="248">
        <f t="shared" si="26"/>
        <v>12975</v>
      </c>
      <c r="R21" s="248">
        <f t="shared" si="26"/>
        <v>12975</v>
      </c>
      <c r="S21" s="248">
        <f t="shared" si="26"/>
        <v>12975</v>
      </c>
      <c r="T21" s="248">
        <f t="shared" si="26"/>
        <v>12975</v>
      </c>
      <c r="U21" s="248">
        <f t="shared" si="26"/>
        <v>12975</v>
      </c>
      <c r="V21" s="248">
        <f t="shared" si="26"/>
        <v>12975</v>
      </c>
      <c r="W21" s="248">
        <f t="shared" si="26"/>
        <v>12975</v>
      </c>
      <c r="X21" s="248">
        <f t="shared" si="26"/>
        <v>12975</v>
      </c>
      <c r="Y21" s="248">
        <f t="shared" si="26"/>
        <v>12975</v>
      </c>
      <c r="Z21" s="248">
        <f t="shared" si="26"/>
        <v>12975</v>
      </c>
      <c r="AA21" s="248">
        <f t="shared" si="26"/>
        <v>12975</v>
      </c>
      <c r="AB21" s="248">
        <f t="shared" si="26"/>
        <v>12975</v>
      </c>
      <c r="AC21" s="248">
        <f t="shared" si="26"/>
        <v>12975</v>
      </c>
      <c r="AD21" s="248">
        <f t="shared" si="26"/>
        <v>12975</v>
      </c>
      <c r="AE21" s="248">
        <f t="shared" si="26"/>
        <v>12975</v>
      </c>
      <c r="AF21" s="248">
        <f t="shared" si="26"/>
        <v>12975</v>
      </c>
      <c r="AG21" s="248">
        <f t="shared" si="26"/>
        <v>12975</v>
      </c>
      <c r="AH21" s="248">
        <f t="shared" si="26"/>
        <v>12975</v>
      </c>
      <c r="AI21" s="248">
        <f t="shared" si="26"/>
        <v>12975</v>
      </c>
      <c r="AJ21" s="248">
        <f t="shared" si="26"/>
        <v>12975</v>
      </c>
      <c r="AK21" s="248">
        <f t="shared" si="26"/>
        <v>12975</v>
      </c>
      <c r="AL21" s="248">
        <f t="shared" si="26"/>
        <v>12975</v>
      </c>
      <c r="AM21" s="248">
        <f t="shared" si="26"/>
        <v>12975</v>
      </c>
      <c r="AN21" s="248">
        <f t="shared" si="26"/>
        <v>12975</v>
      </c>
      <c r="AO21" s="248">
        <f t="shared" si="26"/>
        <v>12975</v>
      </c>
      <c r="AP21" s="248">
        <f t="shared" si="26"/>
        <v>12975</v>
      </c>
      <c r="AQ21" s="52">
        <f>Посетители!$K$12*AQ23</f>
        <v>0</v>
      </c>
      <c r="AR21" s="52">
        <f>Посетители!$K$12*AR23</f>
        <v>0</v>
      </c>
      <c r="AS21" s="52">
        <f>Посетители!$K$12*AS23</f>
        <v>0</v>
      </c>
      <c r="AT21" s="52">
        <f>Посетители!$K$12*AT23</f>
        <v>0</v>
      </c>
      <c r="AU21" s="52">
        <f>Посетители!$K$12*AU23</f>
        <v>0</v>
      </c>
      <c r="AV21" s="52">
        <f>Посетители!$K$12*AV23</f>
        <v>0</v>
      </c>
      <c r="AW21" s="52">
        <f>Посетители!$K$12*AW23</f>
        <v>0</v>
      </c>
      <c r="AX21" s="52">
        <f>Посетители!$K$12*AX23</f>
        <v>0</v>
      </c>
      <c r="AY21" s="52">
        <f>Посетители!$K$12*AY23</f>
        <v>0</v>
      </c>
      <c r="AZ21" s="52">
        <f>Посетители!$K$12*AZ23</f>
        <v>0</v>
      </c>
      <c r="BA21" s="52">
        <f>Посетители!$K$12*BA23</f>
        <v>0</v>
      </c>
      <c r="BB21" s="52">
        <f>Посетители!$K$12*BB23</f>
        <v>0</v>
      </c>
      <c r="BC21" s="52">
        <f>Посетители!$K$12*BC23</f>
        <v>0</v>
      </c>
      <c r="BD21" s="52">
        <f>Посетители!$K$12*BD23</f>
        <v>0</v>
      </c>
      <c r="BE21" s="52">
        <f>Посетители!$K$12*BE23</f>
        <v>0</v>
      </c>
      <c r="BF21" s="52">
        <f>Посетители!$K$12*BF23</f>
        <v>0</v>
      </c>
      <c r="BG21" s="52">
        <f>Посетители!$K$12*BG23</f>
        <v>0</v>
      </c>
      <c r="BH21" s="52">
        <f>Посетители!$K$12*BH23</f>
        <v>0</v>
      </c>
      <c r="BI21" s="52">
        <f>Посетители!$K$12*BI23</f>
        <v>0</v>
      </c>
      <c r="BJ21" s="52">
        <f>Посетители!$K$12*BJ23</f>
        <v>0</v>
      </c>
    </row>
    <row r="22" spans="1:62" ht="15.75" x14ac:dyDescent="0.25">
      <c r="A22" s="70"/>
      <c r="B22" s="71" t="s">
        <v>127</v>
      </c>
      <c r="C22" s="66"/>
      <c r="D22" s="66"/>
      <c r="E22" s="66">
        <f>Модель!$C$21/2</f>
        <v>0</v>
      </c>
      <c r="F22" s="66">
        <f>Модель!$C$21/2</f>
        <v>0</v>
      </c>
      <c r="G22" s="52">
        <f>G18*0.5%</f>
        <v>519</v>
      </c>
      <c r="H22" s="52">
        <f t="shared" ref="H22:AP22" si="27">H18*0.5%</f>
        <v>778.5</v>
      </c>
      <c r="I22" s="52">
        <f t="shared" si="27"/>
        <v>908.25</v>
      </c>
      <c r="J22" s="52">
        <f t="shared" si="27"/>
        <v>1102.875</v>
      </c>
      <c r="K22" s="346">
        <f t="shared" si="27"/>
        <v>1297.5</v>
      </c>
      <c r="L22" s="52">
        <f t="shared" si="27"/>
        <v>1297.5</v>
      </c>
      <c r="M22" s="52">
        <f t="shared" si="27"/>
        <v>1297.5</v>
      </c>
      <c r="N22" s="52">
        <f t="shared" si="27"/>
        <v>1297.5</v>
      </c>
      <c r="O22" s="52">
        <f t="shared" si="27"/>
        <v>1297.5</v>
      </c>
      <c r="P22" s="52">
        <f t="shared" si="27"/>
        <v>1297.5</v>
      </c>
      <c r="Q22" s="52">
        <f t="shared" si="27"/>
        <v>1297.5</v>
      </c>
      <c r="R22" s="52">
        <f t="shared" si="27"/>
        <v>1297.5</v>
      </c>
      <c r="S22" s="52">
        <f t="shared" si="27"/>
        <v>1297.5</v>
      </c>
      <c r="T22" s="52">
        <f t="shared" si="27"/>
        <v>1297.5</v>
      </c>
      <c r="U22" s="52">
        <f t="shared" si="27"/>
        <v>1297.5</v>
      </c>
      <c r="V22" s="52">
        <f t="shared" si="27"/>
        <v>1297.5</v>
      </c>
      <c r="W22" s="52">
        <f t="shared" si="27"/>
        <v>1297.5</v>
      </c>
      <c r="X22" s="52">
        <f t="shared" si="27"/>
        <v>1297.5</v>
      </c>
      <c r="Y22" s="52">
        <f t="shared" si="27"/>
        <v>1297.5</v>
      </c>
      <c r="Z22" s="52">
        <f t="shared" si="27"/>
        <v>1297.5</v>
      </c>
      <c r="AA22" s="52">
        <f t="shared" si="27"/>
        <v>1297.5</v>
      </c>
      <c r="AB22" s="52">
        <f t="shared" si="27"/>
        <v>1297.5</v>
      </c>
      <c r="AC22" s="52">
        <f t="shared" si="27"/>
        <v>1297.5</v>
      </c>
      <c r="AD22" s="52">
        <f t="shared" si="27"/>
        <v>1297.5</v>
      </c>
      <c r="AE22" s="52">
        <f t="shared" si="27"/>
        <v>1297.5</v>
      </c>
      <c r="AF22" s="52">
        <f t="shared" si="27"/>
        <v>1297.5</v>
      </c>
      <c r="AG22" s="52">
        <f t="shared" si="27"/>
        <v>1297.5</v>
      </c>
      <c r="AH22" s="52">
        <f t="shared" si="27"/>
        <v>1297.5</v>
      </c>
      <c r="AI22" s="52">
        <f t="shared" si="27"/>
        <v>1297.5</v>
      </c>
      <c r="AJ22" s="52">
        <f t="shared" si="27"/>
        <v>1297.5</v>
      </c>
      <c r="AK22" s="52">
        <f t="shared" si="27"/>
        <v>1297.5</v>
      </c>
      <c r="AL22" s="52">
        <f t="shared" si="27"/>
        <v>1297.5</v>
      </c>
      <c r="AM22" s="52">
        <f t="shared" si="27"/>
        <v>1297.5</v>
      </c>
      <c r="AN22" s="52">
        <f t="shared" si="27"/>
        <v>1297.5</v>
      </c>
      <c r="AO22" s="52">
        <f t="shared" si="27"/>
        <v>1297.5</v>
      </c>
      <c r="AP22" s="52">
        <f t="shared" si="27"/>
        <v>1297.5</v>
      </c>
      <c r="AQ22" s="52">
        <f>Посетители!$K$12*AQ24</f>
        <v>0</v>
      </c>
      <c r="AR22" s="52">
        <f>Посетители!$K$12*AR24</f>
        <v>0</v>
      </c>
      <c r="AS22" s="52">
        <f>Посетители!$K$12*AS24</f>
        <v>0</v>
      </c>
      <c r="AT22" s="52">
        <f>Посетители!$K$12*AT24</f>
        <v>0</v>
      </c>
      <c r="AU22" s="52">
        <f>Посетители!$K$12*AU24</f>
        <v>0</v>
      </c>
      <c r="AV22" s="52">
        <f>Посетители!$K$12*AV24</f>
        <v>0</v>
      </c>
      <c r="AW22" s="52">
        <f>Посетители!$K$12*AW24</f>
        <v>0</v>
      </c>
      <c r="AX22" s="52">
        <f>Посетители!$K$12*AX24</f>
        <v>0</v>
      </c>
      <c r="AY22" s="52">
        <f>Посетители!$K$12*AY24</f>
        <v>0</v>
      </c>
      <c r="AZ22" s="52">
        <f>Посетители!$K$12*AZ24</f>
        <v>0</v>
      </c>
      <c r="BA22" s="52">
        <f>Посетители!$K$12*BA24</f>
        <v>0</v>
      </c>
      <c r="BB22" s="52">
        <f>Посетители!$K$12*BB24</f>
        <v>0</v>
      </c>
      <c r="BC22" s="52">
        <f>Посетители!$K$12*BC24</f>
        <v>0</v>
      </c>
      <c r="BD22" s="52">
        <f>Посетители!$K$12*BD24</f>
        <v>0</v>
      </c>
      <c r="BE22" s="52">
        <f>Посетители!$K$12*BE24</f>
        <v>0</v>
      </c>
      <c r="BF22" s="52">
        <f>Посетители!$K$12*BF24</f>
        <v>0</v>
      </c>
      <c r="BG22" s="52">
        <f>Посетители!$K$12*BG24</f>
        <v>0</v>
      </c>
      <c r="BH22" s="52">
        <f>Посетители!$K$12*BH24</f>
        <v>0</v>
      </c>
      <c r="BI22" s="52">
        <f>Посетители!$K$12*BI24</f>
        <v>0</v>
      </c>
      <c r="BJ22" s="52">
        <f>Посетители!$K$12*BJ24</f>
        <v>0</v>
      </c>
    </row>
    <row r="23" spans="1:62" ht="15.75" x14ac:dyDescent="0.25">
      <c r="A23" s="70"/>
      <c r="B23" s="71" t="s">
        <v>123</v>
      </c>
      <c r="C23" s="66"/>
      <c r="D23" s="51"/>
      <c r="E23" s="51">
        <f>Модель!C22</f>
        <v>500000</v>
      </c>
      <c r="F23" s="51"/>
      <c r="G23" s="52"/>
      <c r="H23" s="52"/>
      <c r="I23" s="52"/>
      <c r="J23" s="52"/>
      <c r="K23" s="346"/>
      <c r="L23" s="52"/>
      <c r="M23" s="52"/>
      <c r="N23" s="52"/>
      <c r="O23" s="52"/>
      <c r="P23" s="52"/>
      <c r="Q23" s="52"/>
      <c r="R23" s="259"/>
      <c r="S23" s="293"/>
      <c r="T23" s="27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>
        <f>Посетители!$K$12*AQ25</f>
        <v>0</v>
      </c>
      <c r="AR23" s="52">
        <f>Посетители!$K$12*AR25</f>
        <v>0</v>
      </c>
      <c r="AS23" s="52">
        <f>Посетители!$K$12*AS25</f>
        <v>0</v>
      </c>
      <c r="AT23" s="52">
        <f>Посетители!$K$12*AT25</f>
        <v>0</v>
      </c>
      <c r="AU23" s="52">
        <f>Посетители!$K$12*AU25</f>
        <v>0</v>
      </c>
      <c r="AV23" s="52">
        <f>Посетители!$K$12*AV25</f>
        <v>0</v>
      </c>
      <c r="AW23" s="52">
        <f>Посетители!$K$12*AW25</f>
        <v>0</v>
      </c>
      <c r="AX23" s="52">
        <f>Посетители!$K$12*AX25</f>
        <v>0</v>
      </c>
      <c r="AY23" s="52">
        <f>Посетители!$K$12*AY25</f>
        <v>0</v>
      </c>
      <c r="AZ23" s="52">
        <f>Посетители!$K$12*AZ25</f>
        <v>0</v>
      </c>
      <c r="BA23" s="52">
        <f>Посетители!$K$12*BA25</f>
        <v>0</v>
      </c>
      <c r="BB23" s="52">
        <f>Посетители!$K$12*BB25</f>
        <v>0</v>
      </c>
      <c r="BC23" s="52">
        <f>Посетители!$K$12*BC25</f>
        <v>0</v>
      </c>
      <c r="BD23" s="52">
        <f>Посетители!$K$12*BD25</f>
        <v>0</v>
      </c>
      <c r="BE23" s="52">
        <f>Посетители!$K$12*BE25</f>
        <v>0</v>
      </c>
      <c r="BF23" s="52">
        <f>Посетители!$K$12*BF25</f>
        <v>0</v>
      </c>
      <c r="BG23" s="52">
        <f>Посетители!$K$12*BG25</f>
        <v>0</v>
      </c>
      <c r="BH23" s="52">
        <f>Посетители!$K$12*BH25</f>
        <v>0</v>
      </c>
      <c r="BI23" s="52">
        <f>Посетители!$K$12*BI25</f>
        <v>0</v>
      </c>
      <c r="BJ23" s="52">
        <f>Посетители!$K$12*BJ25</f>
        <v>0</v>
      </c>
    </row>
    <row r="24" spans="1:62" ht="15.75" x14ac:dyDescent="0.25">
      <c r="A24" s="70"/>
      <c r="B24" s="71" t="s">
        <v>128</v>
      </c>
      <c r="C24" s="66"/>
      <c r="D24" s="51"/>
      <c r="E24" s="51"/>
      <c r="F24" s="51"/>
      <c r="G24" s="52">
        <f>G18*1%</f>
        <v>1038</v>
      </c>
      <c r="H24" s="52">
        <f t="shared" ref="H24:AP24" si="28">H18*1%</f>
        <v>1557</v>
      </c>
      <c r="I24" s="52">
        <f t="shared" si="28"/>
        <v>1816.5</v>
      </c>
      <c r="J24" s="52">
        <f t="shared" si="28"/>
        <v>2205.75</v>
      </c>
      <c r="K24" s="346">
        <f t="shared" si="28"/>
        <v>2595</v>
      </c>
      <c r="L24" s="52">
        <f t="shared" si="28"/>
        <v>2595</v>
      </c>
      <c r="M24" s="52">
        <f t="shared" si="28"/>
        <v>2595</v>
      </c>
      <c r="N24" s="52">
        <f t="shared" si="28"/>
        <v>2595</v>
      </c>
      <c r="O24" s="52">
        <f t="shared" si="28"/>
        <v>2595</v>
      </c>
      <c r="P24" s="52">
        <f t="shared" si="28"/>
        <v>2595</v>
      </c>
      <c r="Q24" s="52">
        <f t="shared" si="28"/>
        <v>2595</v>
      </c>
      <c r="R24" s="259">
        <f t="shared" si="28"/>
        <v>2595</v>
      </c>
      <c r="S24" s="293">
        <f t="shared" si="28"/>
        <v>2595</v>
      </c>
      <c r="T24" s="272">
        <f t="shared" si="28"/>
        <v>2595</v>
      </c>
      <c r="U24" s="52">
        <f t="shared" si="28"/>
        <v>2595</v>
      </c>
      <c r="V24" s="52">
        <f t="shared" si="28"/>
        <v>2595</v>
      </c>
      <c r="W24" s="52">
        <f t="shared" si="28"/>
        <v>2595</v>
      </c>
      <c r="X24" s="52">
        <f t="shared" si="28"/>
        <v>2595</v>
      </c>
      <c r="Y24" s="52">
        <f t="shared" si="28"/>
        <v>2595</v>
      </c>
      <c r="Z24" s="52">
        <f t="shared" si="28"/>
        <v>2595</v>
      </c>
      <c r="AA24" s="52">
        <f t="shared" si="28"/>
        <v>2595</v>
      </c>
      <c r="AB24" s="52">
        <f t="shared" si="28"/>
        <v>2595</v>
      </c>
      <c r="AC24" s="52">
        <f t="shared" si="28"/>
        <v>2595</v>
      </c>
      <c r="AD24" s="52">
        <f t="shared" si="28"/>
        <v>2595</v>
      </c>
      <c r="AE24" s="52">
        <f t="shared" si="28"/>
        <v>2595</v>
      </c>
      <c r="AF24" s="52">
        <f t="shared" si="28"/>
        <v>2595</v>
      </c>
      <c r="AG24" s="52">
        <f t="shared" si="28"/>
        <v>2595</v>
      </c>
      <c r="AH24" s="52">
        <f t="shared" si="28"/>
        <v>2595</v>
      </c>
      <c r="AI24" s="52">
        <f t="shared" si="28"/>
        <v>2595</v>
      </c>
      <c r="AJ24" s="52">
        <f t="shared" si="28"/>
        <v>2595</v>
      </c>
      <c r="AK24" s="52">
        <f t="shared" si="28"/>
        <v>2595</v>
      </c>
      <c r="AL24" s="52">
        <f t="shared" si="28"/>
        <v>2595</v>
      </c>
      <c r="AM24" s="52">
        <f t="shared" si="28"/>
        <v>2595</v>
      </c>
      <c r="AN24" s="52">
        <f t="shared" si="28"/>
        <v>2595</v>
      </c>
      <c r="AO24" s="52">
        <f t="shared" si="28"/>
        <v>2595</v>
      </c>
      <c r="AP24" s="52">
        <f t="shared" si="28"/>
        <v>2595</v>
      </c>
      <c r="AQ24" s="52">
        <f>Посетители!$K$12*AQ26</f>
        <v>0</v>
      </c>
      <c r="AR24" s="52">
        <f>Посетители!$K$12*AR26</f>
        <v>0</v>
      </c>
      <c r="AS24" s="52">
        <f>Посетители!$K$12*AS26</f>
        <v>0</v>
      </c>
      <c r="AT24" s="52">
        <f>Посетители!$K$12*AT26</f>
        <v>0</v>
      </c>
      <c r="AU24" s="52">
        <f>Посетители!$K$12*AU26</f>
        <v>0</v>
      </c>
      <c r="AV24" s="52">
        <f>Посетители!$K$12*AV26</f>
        <v>0</v>
      </c>
      <c r="AW24" s="52">
        <f>Посетители!$K$12*AW26</f>
        <v>0</v>
      </c>
      <c r="AX24" s="52">
        <f>Посетители!$K$12*AX26</f>
        <v>0</v>
      </c>
      <c r="AY24" s="52">
        <f>Посетители!$K$12*AY26</f>
        <v>0</v>
      </c>
      <c r="AZ24" s="52">
        <f>Посетители!$K$12*AZ26</f>
        <v>0</v>
      </c>
      <c r="BA24" s="52">
        <f>Посетители!$K$12*BA26</f>
        <v>0</v>
      </c>
      <c r="BB24" s="52">
        <f>Посетители!$K$12*BB26</f>
        <v>0</v>
      </c>
      <c r="BC24" s="52">
        <f>Посетители!$K$12*BC26</f>
        <v>0</v>
      </c>
      <c r="BD24" s="52">
        <f>Посетители!$K$12*BD26</f>
        <v>0</v>
      </c>
      <c r="BE24" s="52">
        <f>Посетители!$K$12*BE26</f>
        <v>0</v>
      </c>
      <c r="BF24" s="52">
        <f>Посетители!$K$12*BF26</f>
        <v>0</v>
      </c>
      <c r="BG24" s="52">
        <f>Посетители!$K$12*BG26</f>
        <v>0</v>
      </c>
      <c r="BH24" s="52">
        <f>Посетители!$K$12*BH26</f>
        <v>0</v>
      </c>
      <c r="BI24" s="52">
        <f>Посетители!$K$12*BI26</f>
        <v>0</v>
      </c>
      <c r="BJ24" s="52">
        <f>Посетители!$K$12*BJ26</f>
        <v>0</v>
      </c>
    </row>
    <row r="25" spans="1:62" ht="15.75" x14ac:dyDescent="0.25">
      <c r="A25" s="70"/>
      <c r="B25" s="72" t="s">
        <v>20</v>
      </c>
      <c r="C25" s="66"/>
      <c r="D25" s="51"/>
      <c r="E25" s="51"/>
      <c r="F25" s="51"/>
      <c r="G25" s="52">
        <f>ЗП!$G12</f>
        <v>45000</v>
      </c>
      <c r="H25" s="52">
        <f>ЗП!$G12</f>
        <v>45000</v>
      </c>
      <c r="I25" s="52">
        <f>ЗП!$G12</f>
        <v>45000</v>
      </c>
      <c r="J25" s="52">
        <f>ЗП!$G12</f>
        <v>45000</v>
      </c>
      <c r="K25" s="346">
        <f>ЗП!$G12</f>
        <v>45000</v>
      </c>
      <c r="L25" s="52">
        <f>ЗП!$G12</f>
        <v>45000</v>
      </c>
      <c r="M25" s="52">
        <f>ЗП!$G12</f>
        <v>45000</v>
      </c>
      <c r="N25" s="52">
        <f>ЗП!$G12</f>
        <v>45000</v>
      </c>
      <c r="O25" s="52">
        <f>ЗП!$G12</f>
        <v>45000</v>
      </c>
      <c r="P25" s="52">
        <f>ЗП!$G12</f>
        <v>45000</v>
      </c>
      <c r="Q25" s="52">
        <f>ЗП!$G12</f>
        <v>45000</v>
      </c>
      <c r="R25" s="259">
        <f>ЗП!$G12</f>
        <v>45000</v>
      </c>
      <c r="S25" s="293">
        <f>ЗП!$G12</f>
        <v>45000</v>
      </c>
      <c r="T25" s="272">
        <f>ЗП!$G12</f>
        <v>45000</v>
      </c>
      <c r="U25" s="52">
        <f>ЗП!$G12</f>
        <v>45000</v>
      </c>
      <c r="V25" s="52">
        <f>ЗП!$G12</f>
        <v>45000</v>
      </c>
      <c r="W25" s="52">
        <f>ЗП!$G12</f>
        <v>45000</v>
      </c>
      <c r="X25" s="52">
        <f>ЗП!$G12</f>
        <v>45000</v>
      </c>
      <c r="Y25" s="52">
        <f>ЗП!$G12</f>
        <v>45000</v>
      </c>
      <c r="Z25" s="52">
        <f>ЗП!$G12</f>
        <v>45000</v>
      </c>
      <c r="AA25" s="52">
        <f>ЗП!$G12</f>
        <v>45000</v>
      </c>
      <c r="AB25" s="52">
        <f>ЗП!$G12</f>
        <v>45000</v>
      </c>
      <c r="AC25" s="52">
        <f>ЗП!$G12</f>
        <v>45000</v>
      </c>
      <c r="AD25" s="52">
        <f>ЗП!$G12</f>
        <v>45000</v>
      </c>
      <c r="AE25" s="52">
        <f>ЗП!$G12</f>
        <v>45000</v>
      </c>
      <c r="AF25" s="52">
        <f>ЗП!$G12</f>
        <v>45000</v>
      </c>
      <c r="AG25" s="52">
        <f>ЗП!$G12</f>
        <v>45000</v>
      </c>
      <c r="AH25" s="52">
        <f>ЗП!$G12</f>
        <v>45000</v>
      </c>
      <c r="AI25" s="52">
        <f>ЗП!$G12</f>
        <v>45000</v>
      </c>
      <c r="AJ25" s="52">
        <f>ЗП!$G12</f>
        <v>45000</v>
      </c>
      <c r="AK25" s="52">
        <f>ЗП!$G12</f>
        <v>45000</v>
      </c>
      <c r="AL25" s="52">
        <f>ЗП!$G12</f>
        <v>45000</v>
      </c>
      <c r="AM25" s="52">
        <f>ЗП!$G12</f>
        <v>45000</v>
      </c>
      <c r="AN25" s="52">
        <f>ЗП!$G12</f>
        <v>45000</v>
      </c>
      <c r="AO25" s="52">
        <f>ЗП!$G12</f>
        <v>45000</v>
      </c>
      <c r="AP25" s="52">
        <f>ЗП!$G12</f>
        <v>45000</v>
      </c>
      <c r="AQ25" s="52">
        <f>Посетители!$K$12*AQ27</f>
        <v>0</v>
      </c>
      <c r="AR25" s="52">
        <f>Посетители!$K$12*AR27</f>
        <v>0</v>
      </c>
      <c r="AS25" s="52">
        <f>Посетители!$K$12*AS27</f>
        <v>0</v>
      </c>
      <c r="AT25" s="52">
        <f>Посетители!$K$12*AT27</f>
        <v>0</v>
      </c>
      <c r="AU25" s="52">
        <f>Посетители!$K$12*AU27</f>
        <v>0</v>
      </c>
      <c r="AV25" s="52">
        <f>Посетители!$K$12*AV27</f>
        <v>0</v>
      </c>
      <c r="AW25" s="52">
        <f>Посетители!$K$12*AW27</f>
        <v>0</v>
      </c>
      <c r="AX25" s="52">
        <f>Посетители!$K$12*AX27</f>
        <v>0</v>
      </c>
      <c r="AY25" s="52">
        <f>Посетители!$K$12*AY27</f>
        <v>0</v>
      </c>
      <c r="AZ25" s="52">
        <f>Посетители!$K$12*AZ27</f>
        <v>0</v>
      </c>
      <c r="BA25" s="52">
        <f>Посетители!$K$12*BA27</f>
        <v>0</v>
      </c>
      <c r="BB25" s="52">
        <f>Посетители!$K$12*BB27</f>
        <v>0</v>
      </c>
      <c r="BC25" s="52">
        <f>Посетители!$K$12*BC27</f>
        <v>0</v>
      </c>
      <c r="BD25" s="52">
        <f>Посетители!$K$12*BD27</f>
        <v>0</v>
      </c>
      <c r="BE25" s="52">
        <f>Посетители!$K$12*BE27</f>
        <v>0</v>
      </c>
      <c r="BF25" s="52">
        <f>Посетители!$K$12*BF27</f>
        <v>0</v>
      </c>
      <c r="BG25" s="52">
        <f>Посетители!$K$12*BG27</f>
        <v>0</v>
      </c>
      <c r="BH25" s="52">
        <f>Посетители!$K$12*BH27</f>
        <v>0</v>
      </c>
      <c r="BI25" s="52">
        <f>Посетители!$K$12*BI27</f>
        <v>0</v>
      </c>
      <c r="BJ25" s="52">
        <f>Посетители!$K$12*BJ27</f>
        <v>0</v>
      </c>
    </row>
    <row r="26" spans="1:62" ht="15.75" x14ac:dyDescent="0.25">
      <c r="A26" s="70"/>
      <c r="B26" s="50" t="s">
        <v>21</v>
      </c>
      <c r="C26" s="66"/>
      <c r="D26" s="51"/>
      <c r="E26" s="51">
        <f>Модель!C23</f>
        <v>0</v>
      </c>
      <c r="F26" s="51"/>
      <c r="G26" s="52">
        <f>Аренда!C27</f>
        <v>37500</v>
      </c>
      <c r="H26" s="52">
        <f>G26</f>
        <v>37500</v>
      </c>
      <c r="I26" s="52">
        <f t="shared" ref="I26:AP26" si="29">H26</f>
        <v>37500</v>
      </c>
      <c r="J26" s="52">
        <f t="shared" si="29"/>
        <v>37500</v>
      </c>
      <c r="K26" s="346">
        <f t="shared" si="29"/>
        <v>37500</v>
      </c>
      <c r="L26" s="52">
        <f t="shared" si="29"/>
        <v>37500</v>
      </c>
      <c r="M26" s="52">
        <f t="shared" si="29"/>
        <v>37500</v>
      </c>
      <c r="N26" s="52">
        <f t="shared" si="29"/>
        <v>37500</v>
      </c>
      <c r="O26" s="52">
        <f t="shared" si="29"/>
        <v>37500</v>
      </c>
      <c r="P26" s="52">
        <f t="shared" si="29"/>
        <v>37500</v>
      </c>
      <c r="Q26" s="52">
        <f t="shared" si="29"/>
        <v>37500</v>
      </c>
      <c r="R26" s="52">
        <f t="shared" si="29"/>
        <v>37500</v>
      </c>
      <c r="S26" s="52">
        <f t="shared" si="29"/>
        <v>37500</v>
      </c>
      <c r="T26" s="52">
        <f t="shared" si="29"/>
        <v>37500</v>
      </c>
      <c r="U26" s="52">
        <f t="shared" si="29"/>
        <v>37500</v>
      </c>
      <c r="V26" s="52">
        <f t="shared" si="29"/>
        <v>37500</v>
      </c>
      <c r="W26" s="52">
        <f t="shared" si="29"/>
        <v>37500</v>
      </c>
      <c r="X26" s="52">
        <f t="shared" si="29"/>
        <v>37500</v>
      </c>
      <c r="Y26" s="52">
        <f t="shared" si="29"/>
        <v>37500</v>
      </c>
      <c r="Z26" s="52">
        <f t="shared" si="29"/>
        <v>37500</v>
      </c>
      <c r="AA26" s="52">
        <f t="shared" si="29"/>
        <v>37500</v>
      </c>
      <c r="AB26" s="52">
        <f t="shared" si="29"/>
        <v>37500</v>
      </c>
      <c r="AC26" s="52">
        <f t="shared" si="29"/>
        <v>37500</v>
      </c>
      <c r="AD26" s="52">
        <f t="shared" si="29"/>
        <v>37500</v>
      </c>
      <c r="AE26" s="52">
        <f t="shared" si="29"/>
        <v>37500</v>
      </c>
      <c r="AF26" s="52">
        <f t="shared" si="29"/>
        <v>37500</v>
      </c>
      <c r="AG26" s="52">
        <f t="shared" si="29"/>
        <v>37500</v>
      </c>
      <c r="AH26" s="52">
        <f t="shared" si="29"/>
        <v>37500</v>
      </c>
      <c r="AI26" s="52">
        <f t="shared" si="29"/>
        <v>37500</v>
      </c>
      <c r="AJ26" s="52">
        <f t="shared" si="29"/>
        <v>37500</v>
      </c>
      <c r="AK26" s="52">
        <f t="shared" si="29"/>
        <v>37500</v>
      </c>
      <c r="AL26" s="52">
        <f t="shared" si="29"/>
        <v>37500</v>
      </c>
      <c r="AM26" s="52">
        <f t="shared" si="29"/>
        <v>37500</v>
      </c>
      <c r="AN26" s="52">
        <f t="shared" si="29"/>
        <v>37500</v>
      </c>
      <c r="AO26" s="52">
        <f t="shared" si="29"/>
        <v>37500</v>
      </c>
      <c r="AP26" s="52">
        <f t="shared" si="29"/>
        <v>37500</v>
      </c>
      <c r="AQ26" s="52">
        <f>Посетители!$K$12*AQ28</f>
        <v>0</v>
      </c>
      <c r="AR26" s="52">
        <f>Посетители!$K$12*AR28</f>
        <v>0</v>
      </c>
      <c r="AS26" s="52">
        <f>Посетители!$K$12*AS28</f>
        <v>0</v>
      </c>
      <c r="AT26" s="52">
        <f>Посетители!$K$12*AT28</f>
        <v>0</v>
      </c>
      <c r="AU26" s="52">
        <f>Посетители!$K$12*AU28</f>
        <v>0</v>
      </c>
      <c r="AV26" s="52">
        <f>Посетители!$K$12*AV28</f>
        <v>0</v>
      </c>
      <c r="AW26" s="52">
        <f>Посетители!$K$12*AW28</f>
        <v>0</v>
      </c>
      <c r="AX26" s="52">
        <f>Посетители!$K$12*AX28</f>
        <v>0</v>
      </c>
      <c r="AY26" s="52">
        <f>Посетители!$K$12*AY28</f>
        <v>0</v>
      </c>
      <c r="AZ26" s="52">
        <f>Посетители!$K$12*AZ28</f>
        <v>0</v>
      </c>
      <c r="BA26" s="52">
        <f>Посетители!$K$12*BA28</f>
        <v>0</v>
      </c>
      <c r="BB26" s="52">
        <f>Посетители!$K$12*BB28</f>
        <v>0</v>
      </c>
      <c r="BC26" s="52">
        <f>Посетители!$K$12*BC28</f>
        <v>0</v>
      </c>
      <c r="BD26" s="52">
        <f>Посетители!$K$12*BD28</f>
        <v>0</v>
      </c>
      <c r="BE26" s="52">
        <f>Посетители!$K$12*BE28</f>
        <v>0</v>
      </c>
      <c r="BF26" s="52">
        <f>Посетители!$K$12*BF28</f>
        <v>0</v>
      </c>
      <c r="BG26" s="52">
        <f>Посетители!$K$12*BG28</f>
        <v>0</v>
      </c>
      <c r="BH26" s="52">
        <f>Посетители!$K$12*BH28</f>
        <v>0</v>
      </c>
      <c r="BI26" s="52">
        <f>Посетители!$K$12*BI28</f>
        <v>0</v>
      </c>
      <c r="BJ26" s="52">
        <f>Посетители!$K$12*BJ28</f>
        <v>0</v>
      </c>
    </row>
    <row r="27" spans="1:62" ht="15.75" x14ac:dyDescent="0.25">
      <c r="A27" s="70"/>
      <c r="B27" s="72" t="s">
        <v>10</v>
      </c>
      <c r="C27" s="66"/>
      <c r="D27" s="51"/>
      <c r="E27" s="51"/>
      <c r="F27" s="51"/>
      <c r="G27" s="52">
        <v>5000</v>
      </c>
      <c r="H27" s="52">
        <f>G27</f>
        <v>5000</v>
      </c>
      <c r="I27" s="52">
        <f t="shared" ref="I27:AP27" si="30">H27</f>
        <v>5000</v>
      </c>
      <c r="J27" s="52">
        <f t="shared" si="30"/>
        <v>5000</v>
      </c>
      <c r="K27" s="346">
        <f t="shared" si="30"/>
        <v>5000</v>
      </c>
      <c r="L27" s="52">
        <f t="shared" si="30"/>
        <v>5000</v>
      </c>
      <c r="M27" s="52">
        <f t="shared" si="30"/>
        <v>5000</v>
      </c>
      <c r="N27" s="52">
        <f t="shared" si="30"/>
        <v>5000</v>
      </c>
      <c r="O27" s="52">
        <f t="shared" si="30"/>
        <v>5000</v>
      </c>
      <c r="P27" s="52">
        <f t="shared" si="30"/>
        <v>5000</v>
      </c>
      <c r="Q27" s="52">
        <f t="shared" si="30"/>
        <v>5000</v>
      </c>
      <c r="R27" s="259">
        <f t="shared" si="30"/>
        <v>5000</v>
      </c>
      <c r="S27" s="293">
        <f t="shared" si="30"/>
        <v>5000</v>
      </c>
      <c r="T27" s="272">
        <f t="shared" si="30"/>
        <v>5000</v>
      </c>
      <c r="U27" s="52">
        <f t="shared" si="30"/>
        <v>5000</v>
      </c>
      <c r="V27" s="52">
        <f t="shared" si="30"/>
        <v>5000</v>
      </c>
      <c r="W27" s="52">
        <f t="shared" si="30"/>
        <v>5000</v>
      </c>
      <c r="X27" s="52">
        <f t="shared" si="30"/>
        <v>5000</v>
      </c>
      <c r="Y27" s="52">
        <f t="shared" si="30"/>
        <v>5000</v>
      </c>
      <c r="Z27" s="52">
        <f t="shared" si="30"/>
        <v>5000</v>
      </c>
      <c r="AA27" s="52">
        <f t="shared" si="30"/>
        <v>5000</v>
      </c>
      <c r="AB27" s="52">
        <f t="shared" si="30"/>
        <v>5000</v>
      </c>
      <c r="AC27" s="52">
        <f t="shared" si="30"/>
        <v>5000</v>
      </c>
      <c r="AD27" s="52">
        <f t="shared" si="30"/>
        <v>5000</v>
      </c>
      <c r="AE27" s="52">
        <f t="shared" si="30"/>
        <v>5000</v>
      </c>
      <c r="AF27" s="52">
        <f t="shared" si="30"/>
        <v>5000</v>
      </c>
      <c r="AG27" s="52">
        <f t="shared" si="30"/>
        <v>5000</v>
      </c>
      <c r="AH27" s="52">
        <f t="shared" si="30"/>
        <v>5000</v>
      </c>
      <c r="AI27" s="52">
        <f t="shared" si="30"/>
        <v>5000</v>
      </c>
      <c r="AJ27" s="52">
        <f t="shared" si="30"/>
        <v>5000</v>
      </c>
      <c r="AK27" s="52">
        <f t="shared" si="30"/>
        <v>5000</v>
      </c>
      <c r="AL27" s="52">
        <f t="shared" si="30"/>
        <v>5000</v>
      </c>
      <c r="AM27" s="52">
        <f t="shared" si="30"/>
        <v>5000</v>
      </c>
      <c r="AN27" s="52">
        <f t="shared" si="30"/>
        <v>5000</v>
      </c>
      <c r="AO27" s="52">
        <f t="shared" si="30"/>
        <v>5000</v>
      </c>
      <c r="AP27" s="52">
        <f t="shared" si="30"/>
        <v>5000</v>
      </c>
      <c r="AQ27" s="52">
        <f>Посетители!$K$12*AQ29</f>
        <v>0</v>
      </c>
      <c r="AR27" s="52">
        <f>Посетители!$K$12*AR29</f>
        <v>0</v>
      </c>
      <c r="AS27" s="52">
        <f>Посетители!$K$12*AS29</f>
        <v>0</v>
      </c>
      <c r="AT27" s="52">
        <f>Посетители!$K$12*AT29</f>
        <v>0</v>
      </c>
      <c r="AU27" s="52">
        <f>Посетители!$K$12*AU29</f>
        <v>0</v>
      </c>
      <c r="AV27" s="52">
        <f>Посетители!$K$12*AV29</f>
        <v>0</v>
      </c>
      <c r="AW27" s="52">
        <f>Посетители!$K$12*AW29</f>
        <v>0</v>
      </c>
      <c r="AX27" s="52">
        <f>Посетители!$K$12*AX29</f>
        <v>0</v>
      </c>
      <c r="AY27" s="52">
        <f>Посетители!$K$12*AY29</f>
        <v>0</v>
      </c>
      <c r="AZ27" s="52">
        <f>Посетители!$K$12*AZ29</f>
        <v>0</v>
      </c>
      <c r="BA27" s="52">
        <f>Посетители!$K$12*BA29</f>
        <v>0</v>
      </c>
      <c r="BB27" s="52">
        <f>Посетители!$K$12*BB29</f>
        <v>0</v>
      </c>
      <c r="BC27" s="52">
        <f>Посетители!$K$12*BC29</f>
        <v>0</v>
      </c>
      <c r="BD27" s="52">
        <f>Посетители!$K$12*BD29</f>
        <v>0</v>
      </c>
      <c r="BE27" s="52">
        <f>Посетители!$K$12*BE29</f>
        <v>0</v>
      </c>
      <c r="BF27" s="52">
        <f>Посетители!$K$12*BF29</f>
        <v>0</v>
      </c>
      <c r="BG27" s="52">
        <f>Посетители!$K$12*BG29</f>
        <v>0</v>
      </c>
      <c r="BH27" s="52">
        <f>Посетители!$K$12*BH29</f>
        <v>0</v>
      </c>
      <c r="BI27" s="52">
        <f>Посетители!$K$12*BI29</f>
        <v>0</v>
      </c>
      <c r="BJ27" s="52">
        <f>Посетители!$K$12*BJ29</f>
        <v>0</v>
      </c>
    </row>
    <row r="28" spans="1:62" ht="15.75" x14ac:dyDescent="0.25">
      <c r="A28" s="70"/>
      <c r="B28" s="72" t="s">
        <v>145</v>
      </c>
      <c r="C28" s="66"/>
      <c r="D28" s="51"/>
      <c r="E28" s="51"/>
      <c r="F28" s="51"/>
      <c r="G28" s="52">
        <f>G18*6%</f>
        <v>6228</v>
      </c>
      <c r="H28" s="52">
        <f t="shared" ref="H28:AP28" si="31">H18*6%</f>
        <v>9342</v>
      </c>
      <c r="I28" s="52">
        <f t="shared" si="31"/>
        <v>10899</v>
      </c>
      <c r="J28" s="52">
        <f t="shared" si="31"/>
        <v>13234.5</v>
      </c>
      <c r="K28" s="346">
        <f t="shared" si="31"/>
        <v>15570</v>
      </c>
      <c r="L28" s="52">
        <f t="shared" si="31"/>
        <v>15570</v>
      </c>
      <c r="M28" s="52">
        <f t="shared" si="31"/>
        <v>15570</v>
      </c>
      <c r="N28" s="52">
        <f t="shared" si="31"/>
        <v>15570</v>
      </c>
      <c r="O28" s="52">
        <f t="shared" si="31"/>
        <v>15570</v>
      </c>
      <c r="P28" s="52">
        <f t="shared" si="31"/>
        <v>15570</v>
      </c>
      <c r="Q28" s="52">
        <f t="shared" si="31"/>
        <v>15570</v>
      </c>
      <c r="R28" s="259">
        <f t="shared" si="31"/>
        <v>15570</v>
      </c>
      <c r="S28" s="293">
        <f t="shared" si="31"/>
        <v>15570</v>
      </c>
      <c r="T28" s="272">
        <f t="shared" si="31"/>
        <v>15570</v>
      </c>
      <c r="U28" s="52">
        <f t="shared" si="31"/>
        <v>15570</v>
      </c>
      <c r="V28" s="52">
        <f t="shared" si="31"/>
        <v>15570</v>
      </c>
      <c r="W28" s="52">
        <f t="shared" si="31"/>
        <v>15570</v>
      </c>
      <c r="X28" s="52">
        <f t="shared" si="31"/>
        <v>15570</v>
      </c>
      <c r="Y28" s="52">
        <f t="shared" si="31"/>
        <v>15570</v>
      </c>
      <c r="Z28" s="52">
        <f t="shared" si="31"/>
        <v>15570</v>
      </c>
      <c r="AA28" s="52">
        <f t="shared" si="31"/>
        <v>15570</v>
      </c>
      <c r="AB28" s="52">
        <f t="shared" si="31"/>
        <v>15570</v>
      </c>
      <c r="AC28" s="52">
        <f t="shared" si="31"/>
        <v>15570</v>
      </c>
      <c r="AD28" s="52">
        <f t="shared" si="31"/>
        <v>15570</v>
      </c>
      <c r="AE28" s="52">
        <f t="shared" si="31"/>
        <v>15570</v>
      </c>
      <c r="AF28" s="52">
        <f t="shared" si="31"/>
        <v>15570</v>
      </c>
      <c r="AG28" s="52">
        <f t="shared" si="31"/>
        <v>15570</v>
      </c>
      <c r="AH28" s="52">
        <f t="shared" si="31"/>
        <v>15570</v>
      </c>
      <c r="AI28" s="52">
        <f t="shared" si="31"/>
        <v>15570</v>
      </c>
      <c r="AJ28" s="52">
        <f t="shared" si="31"/>
        <v>15570</v>
      </c>
      <c r="AK28" s="52">
        <f t="shared" si="31"/>
        <v>15570</v>
      </c>
      <c r="AL28" s="52">
        <f t="shared" si="31"/>
        <v>15570</v>
      </c>
      <c r="AM28" s="52">
        <f t="shared" si="31"/>
        <v>15570</v>
      </c>
      <c r="AN28" s="52">
        <f t="shared" si="31"/>
        <v>15570</v>
      </c>
      <c r="AO28" s="52">
        <f t="shared" si="31"/>
        <v>15570</v>
      </c>
      <c r="AP28" s="52">
        <f t="shared" si="31"/>
        <v>15570</v>
      </c>
      <c r="AQ28" s="52">
        <f>Посетители!$K$12*AQ30</f>
        <v>0</v>
      </c>
      <c r="AR28" s="52">
        <f>Посетители!$K$12*AR30</f>
        <v>0</v>
      </c>
      <c r="AS28" s="52">
        <f>Посетители!$K$12*AS30</f>
        <v>0</v>
      </c>
      <c r="AT28" s="52">
        <f>Посетители!$K$12*AT30</f>
        <v>0</v>
      </c>
      <c r="AU28" s="52">
        <f>Посетители!$K$12*AU30</f>
        <v>0</v>
      </c>
      <c r="AV28" s="52">
        <f>Посетители!$K$12*AV30</f>
        <v>0</v>
      </c>
      <c r="AW28" s="52">
        <f>Посетители!$K$12*AW30</f>
        <v>0</v>
      </c>
      <c r="AX28" s="52">
        <f>Посетители!$K$12*AX30</f>
        <v>0</v>
      </c>
      <c r="AY28" s="52">
        <f>Посетители!$K$12*AY30</f>
        <v>0</v>
      </c>
      <c r="AZ28" s="52">
        <f>Посетители!$K$12*AZ30</f>
        <v>0</v>
      </c>
      <c r="BA28" s="52">
        <f>Посетители!$K$12*BA30</f>
        <v>0</v>
      </c>
      <c r="BB28" s="52">
        <f>Посетители!$K$12*BB30</f>
        <v>0</v>
      </c>
      <c r="BC28" s="52">
        <f>Посетители!$K$12*BC30</f>
        <v>0</v>
      </c>
      <c r="BD28" s="52">
        <f>Посетители!$K$12*BD30</f>
        <v>0</v>
      </c>
      <c r="BE28" s="52">
        <f>Посетители!$K$12*BE30</f>
        <v>0</v>
      </c>
      <c r="BF28" s="52">
        <f>Посетители!$K$12*BF30</f>
        <v>0</v>
      </c>
      <c r="BG28" s="52">
        <f>Посетители!$K$12*BG30</f>
        <v>0</v>
      </c>
      <c r="BH28" s="52">
        <f>Посетители!$K$12*BH30</f>
        <v>0</v>
      </c>
      <c r="BI28" s="52">
        <f>Посетители!$K$12*BI30</f>
        <v>0</v>
      </c>
      <c r="BJ28" s="52">
        <f>Посетители!$K$12*BJ30</f>
        <v>0</v>
      </c>
    </row>
    <row r="29" spans="1:62" ht="15.75" x14ac:dyDescent="0.25">
      <c r="A29" s="70"/>
      <c r="B29" s="72" t="s">
        <v>144</v>
      </c>
      <c r="C29" s="66"/>
      <c r="D29" s="51"/>
      <c r="E29" s="51"/>
      <c r="F29" s="51"/>
      <c r="G29" s="52">
        <v>13500</v>
      </c>
      <c r="H29" s="52">
        <v>13500</v>
      </c>
      <c r="I29" s="52">
        <v>13500</v>
      </c>
      <c r="J29" s="52">
        <v>13500</v>
      </c>
      <c r="K29" s="346">
        <v>13500</v>
      </c>
      <c r="L29" s="52">
        <v>13500</v>
      </c>
      <c r="M29" s="52">
        <v>13500</v>
      </c>
      <c r="N29" s="52">
        <v>13500</v>
      </c>
      <c r="O29" s="52">
        <v>13500</v>
      </c>
      <c r="P29" s="52">
        <v>13500</v>
      </c>
      <c r="Q29" s="52">
        <v>13500</v>
      </c>
      <c r="R29" s="52">
        <v>13500</v>
      </c>
      <c r="S29" s="52">
        <v>13500</v>
      </c>
      <c r="T29" s="52">
        <v>13500</v>
      </c>
      <c r="U29" s="52">
        <v>13500</v>
      </c>
      <c r="V29" s="52">
        <v>13500</v>
      </c>
      <c r="W29" s="52">
        <v>13500</v>
      </c>
      <c r="X29" s="52">
        <v>13500</v>
      </c>
      <c r="Y29" s="52">
        <v>13500</v>
      </c>
      <c r="Z29" s="52">
        <v>13500</v>
      </c>
      <c r="AA29" s="52">
        <v>13500</v>
      </c>
      <c r="AB29" s="52">
        <v>13500</v>
      </c>
      <c r="AC29" s="52">
        <v>13500</v>
      </c>
      <c r="AD29" s="52">
        <v>13500</v>
      </c>
      <c r="AE29" s="52">
        <v>13500</v>
      </c>
      <c r="AF29" s="52">
        <v>13500</v>
      </c>
      <c r="AG29" s="52">
        <v>13500</v>
      </c>
      <c r="AH29" s="52">
        <v>13500</v>
      </c>
      <c r="AI29" s="52">
        <v>13500</v>
      </c>
      <c r="AJ29" s="52">
        <v>13500</v>
      </c>
      <c r="AK29" s="52">
        <v>13500</v>
      </c>
      <c r="AL29" s="52">
        <v>13500</v>
      </c>
      <c r="AM29" s="52">
        <v>13500</v>
      </c>
      <c r="AN29" s="52">
        <v>13500</v>
      </c>
      <c r="AO29" s="52">
        <v>13500</v>
      </c>
      <c r="AP29" s="52">
        <v>13500</v>
      </c>
      <c r="AQ29" s="52">
        <f>Посетители!$K$12*AQ31</f>
        <v>0</v>
      </c>
      <c r="AR29" s="52">
        <f>Посетители!$K$12*AR31</f>
        <v>0</v>
      </c>
      <c r="AS29" s="52">
        <f>Посетители!$K$12*AS31</f>
        <v>0</v>
      </c>
      <c r="AT29" s="52">
        <f>Посетители!$K$12*AT31</f>
        <v>0</v>
      </c>
      <c r="AU29" s="52">
        <f>Посетители!$K$12*AU31</f>
        <v>0</v>
      </c>
      <c r="AV29" s="52">
        <f>Посетители!$K$12*AV31</f>
        <v>0</v>
      </c>
      <c r="AW29" s="52">
        <f>Посетители!$K$12*AW31</f>
        <v>0</v>
      </c>
      <c r="AX29" s="52">
        <f>Посетители!$K$12*AX31</f>
        <v>0</v>
      </c>
      <c r="AY29" s="52">
        <f>Посетители!$K$12*AY31</f>
        <v>0</v>
      </c>
      <c r="AZ29" s="52">
        <f>Посетители!$K$12*AZ31</f>
        <v>0</v>
      </c>
      <c r="BA29" s="52">
        <f>Посетители!$K$12*BA31</f>
        <v>0</v>
      </c>
      <c r="BB29" s="52">
        <f>Посетители!$K$12*BB31</f>
        <v>0</v>
      </c>
      <c r="BC29" s="52">
        <f>Посетители!$K$12*BC31</f>
        <v>0</v>
      </c>
      <c r="BD29" s="52">
        <f>Посетители!$K$12*BD31</f>
        <v>0</v>
      </c>
      <c r="BE29" s="52">
        <f>Посетители!$K$12*BE31</f>
        <v>0</v>
      </c>
      <c r="BF29" s="52">
        <f>Посетители!$K$12*BF31</f>
        <v>0</v>
      </c>
      <c r="BG29" s="52">
        <f>Посетители!$K$12*BG31</f>
        <v>0</v>
      </c>
      <c r="BH29" s="52">
        <f>Посетители!$K$12*BH31</f>
        <v>0</v>
      </c>
      <c r="BI29" s="52">
        <f>Посетители!$K$12*BI31</f>
        <v>0</v>
      </c>
      <c r="BJ29" s="52">
        <f>Посетители!$K$12*BJ31</f>
        <v>0</v>
      </c>
    </row>
    <row r="30" spans="1:62" ht="15.75" x14ac:dyDescent="0.25">
      <c r="A30" s="70"/>
      <c r="B30" s="72" t="s">
        <v>152</v>
      </c>
      <c r="C30" s="66"/>
      <c r="D30" s="51"/>
      <c r="E30" s="51"/>
      <c r="F30" s="51"/>
      <c r="G30" s="52">
        <f>G18*0%</f>
        <v>0</v>
      </c>
      <c r="H30" s="52">
        <f t="shared" ref="H30:AP30" si="32">H18*0%</f>
        <v>0</v>
      </c>
      <c r="I30" s="52">
        <f t="shared" si="32"/>
        <v>0</v>
      </c>
      <c r="J30" s="52">
        <f t="shared" si="32"/>
        <v>0</v>
      </c>
      <c r="K30" s="346">
        <f t="shared" si="32"/>
        <v>0</v>
      </c>
      <c r="L30" s="52">
        <f t="shared" si="32"/>
        <v>0</v>
      </c>
      <c r="M30" s="52">
        <f t="shared" si="32"/>
        <v>0</v>
      </c>
      <c r="N30" s="52">
        <f t="shared" si="32"/>
        <v>0</v>
      </c>
      <c r="O30" s="52">
        <f t="shared" si="32"/>
        <v>0</v>
      </c>
      <c r="P30" s="52">
        <f t="shared" si="32"/>
        <v>0</v>
      </c>
      <c r="Q30" s="52">
        <f t="shared" si="32"/>
        <v>0</v>
      </c>
      <c r="R30" s="52">
        <f t="shared" si="32"/>
        <v>0</v>
      </c>
      <c r="S30" s="52">
        <f t="shared" si="32"/>
        <v>0</v>
      </c>
      <c r="T30" s="52">
        <f t="shared" si="32"/>
        <v>0</v>
      </c>
      <c r="U30" s="52">
        <f t="shared" si="32"/>
        <v>0</v>
      </c>
      <c r="V30" s="52">
        <f t="shared" si="32"/>
        <v>0</v>
      </c>
      <c r="W30" s="52">
        <f t="shared" si="32"/>
        <v>0</v>
      </c>
      <c r="X30" s="52">
        <f t="shared" si="32"/>
        <v>0</v>
      </c>
      <c r="Y30" s="52">
        <f t="shared" si="32"/>
        <v>0</v>
      </c>
      <c r="Z30" s="52">
        <f t="shared" si="32"/>
        <v>0</v>
      </c>
      <c r="AA30" s="52">
        <f t="shared" si="32"/>
        <v>0</v>
      </c>
      <c r="AB30" s="52">
        <f t="shared" si="32"/>
        <v>0</v>
      </c>
      <c r="AC30" s="52">
        <f t="shared" si="32"/>
        <v>0</v>
      </c>
      <c r="AD30" s="52">
        <f t="shared" si="32"/>
        <v>0</v>
      </c>
      <c r="AE30" s="52">
        <f t="shared" si="32"/>
        <v>0</v>
      </c>
      <c r="AF30" s="52">
        <f t="shared" si="32"/>
        <v>0</v>
      </c>
      <c r="AG30" s="52">
        <f t="shared" si="32"/>
        <v>0</v>
      </c>
      <c r="AH30" s="52">
        <f t="shared" si="32"/>
        <v>0</v>
      </c>
      <c r="AI30" s="52">
        <f t="shared" si="32"/>
        <v>0</v>
      </c>
      <c r="AJ30" s="52">
        <f t="shared" si="32"/>
        <v>0</v>
      </c>
      <c r="AK30" s="52">
        <f t="shared" si="32"/>
        <v>0</v>
      </c>
      <c r="AL30" s="52">
        <f t="shared" si="32"/>
        <v>0</v>
      </c>
      <c r="AM30" s="52">
        <f t="shared" si="32"/>
        <v>0</v>
      </c>
      <c r="AN30" s="52">
        <f t="shared" si="32"/>
        <v>0</v>
      </c>
      <c r="AO30" s="52">
        <f t="shared" si="32"/>
        <v>0</v>
      </c>
      <c r="AP30" s="52">
        <f t="shared" si="32"/>
        <v>0</v>
      </c>
      <c r="AQ30" s="52">
        <f>Посетители!$K$12*AQ32</f>
        <v>0</v>
      </c>
      <c r="AR30" s="52">
        <f>Посетители!$K$12*AR32</f>
        <v>0</v>
      </c>
      <c r="AS30" s="52">
        <f>Посетители!$K$12*AS32</f>
        <v>0</v>
      </c>
      <c r="AT30" s="52">
        <f>Посетители!$K$12*AT32</f>
        <v>0</v>
      </c>
      <c r="AU30" s="52">
        <f>Посетители!$K$12*AU32</f>
        <v>0</v>
      </c>
      <c r="AV30" s="52">
        <f>Посетители!$K$12*AV32</f>
        <v>0</v>
      </c>
      <c r="AW30" s="52">
        <f>Посетители!$K$12*AW32</f>
        <v>0</v>
      </c>
      <c r="AX30" s="52">
        <f>Посетители!$K$12*AX32</f>
        <v>0</v>
      </c>
      <c r="AY30" s="52">
        <f>Посетители!$K$12*AY32</f>
        <v>0</v>
      </c>
      <c r="AZ30" s="52">
        <f>Посетители!$K$12*AZ32</f>
        <v>0</v>
      </c>
      <c r="BA30" s="52">
        <f>Посетители!$K$12*BA32</f>
        <v>0</v>
      </c>
      <c r="BB30" s="52">
        <f>Посетители!$K$12*BB32</f>
        <v>0</v>
      </c>
      <c r="BC30" s="52">
        <f>Посетители!$K$12*BC32</f>
        <v>0</v>
      </c>
      <c r="BD30" s="52">
        <f>Посетители!$K$12*BD32</f>
        <v>0</v>
      </c>
      <c r="BE30" s="52">
        <f>Посетители!$K$12*BE32</f>
        <v>0</v>
      </c>
      <c r="BF30" s="52">
        <f>Посетители!$K$12*BF32</f>
        <v>0</v>
      </c>
      <c r="BG30" s="52">
        <f>Посетители!$K$12*BG32</f>
        <v>0</v>
      </c>
      <c r="BH30" s="52">
        <f>Посетители!$K$12*BH32</f>
        <v>0</v>
      </c>
      <c r="BI30" s="52">
        <f>Посетители!$K$12*BI32</f>
        <v>0</v>
      </c>
      <c r="BJ30" s="52">
        <f>Посетители!$K$12*BJ32</f>
        <v>0</v>
      </c>
    </row>
    <row r="31" spans="1:62" ht="15.75" x14ac:dyDescent="0.25">
      <c r="A31" s="70"/>
      <c r="B31" s="72" t="s">
        <v>141</v>
      </c>
      <c r="C31" s="51"/>
      <c r="D31" s="51"/>
      <c r="E31" s="51"/>
      <c r="F31" s="51"/>
      <c r="G31" s="52">
        <f>G18*0.5%</f>
        <v>519</v>
      </c>
      <c r="H31" s="52">
        <f t="shared" ref="H31:AP31" si="33">H18*0.5%</f>
        <v>778.5</v>
      </c>
      <c r="I31" s="52">
        <f t="shared" si="33"/>
        <v>908.25</v>
      </c>
      <c r="J31" s="52">
        <f t="shared" si="33"/>
        <v>1102.875</v>
      </c>
      <c r="K31" s="346">
        <f t="shared" si="33"/>
        <v>1297.5</v>
      </c>
      <c r="L31" s="52">
        <f t="shared" si="33"/>
        <v>1297.5</v>
      </c>
      <c r="M31" s="52">
        <f t="shared" si="33"/>
        <v>1297.5</v>
      </c>
      <c r="N31" s="52">
        <f t="shared" si="33"/>
        <v>1297.5</v>
      </c>
      <c r="O31" s="52">
        <f t="shared" si="33"/>
        <v>1297.5</v>
      </c>
      <c r="P31" s="52">
        <f t="shared" si="33"/>
        <v>1297.5</v>
      </c>
      <c r="Q31" s="52">
        <f t="shared" si="33"/>
        <v>1297.5</v>
      </c>
      <c r="R31" s="259">
        <f t="shared" si="33"/>
        <v>1297.5</v>
      </c>
      <c r="S31" s="293">
        <f t="shared" si="33"/>
        <v>1297.5</v>
      </c>
      <c r="T31" s="272">
        <f t="shared" si="33"/>
        <v>1297.5</v>
      </c>
      <c r="U31" s="52">
        <f t="shared" si="33"/>
        <v>1297.5</v>
      </c>
      <c r="V31" s="52">
        <f t="shared" si="33"/>
        <v>1297.5</v>
      </c>
      <c r="W31" s="52">
        <f t="shared" si="33"/>
        <v>1297.5</v>
      </c>
      <c r="X31" s="52">
        <f t="shared" si="33"/>
        <v>1297.5</v>
      </c>
      <c r="Y31" s="52">
        <f t="shared" si="33"/>
        <v>1297.5</v>
      </c>
      <c r="Z31" s="52">
        <f t="shared" si="33"/>
        <v>1297.5</v>
      </c>
      <c r="AA31" s="52">
        <f t="shared" si="33"/>
        <v>1297.5</v>
      </c>
      <c r="AB31" s="52">
        <f t="shared" si="33"/>
        <v>1297.5</v>
      </c>
      <c r="AC31" s="52">
        <f t="shared" si="33"/>
        <v>1297.5</v>
      </c>
      <c r="AD31" s="52">
        <f t="shared" si="33"/>
        <v>1297.5</v>
      </c>
      <c r="AE31" s="52">
        <f t="shared" si="33"/>
        <v>1297.5</v>
      </c>
      <c r="AF31" s="52">
        <f t="shared" si="33"/>
        <v>1297.5</v>
      </c>
      <c r="AG31" s="52">
        <f t="shared" si="33"/>
        <v>1297.5</v>
      </c>
      <c r="AH31" s="52">
        <f t="shared" si="33"/>
        <v>1297.5</v>
      </c>
      <c r="AI31" s="52">
        <f t="shared" si="33"/>
        <v>1297.5</v>
      </c>
      <c r="AJ31" s="52">
        <f t="shared" si="33"/>
        <v>1297.5</v>
      </c>
      <c r="AK31" s="52">
        <f t="shared" si="33"/>
        <v>1297.5</v>
      </c>
      <c r="AL31" s="52">
        <f t="shared" si="33"/>
        <v>1297.5</v>
      </c>
      <c r="AM31" s="52">
        <f t="shared" si="33"/>
        <v>1297.5</v>
      </c>
      <c r="AN31" s="52">
        <f t="shared" si="33"/>
        <v>1297.5</v>
      </c>
      <c r="AO31" s="52">
        <f t="shared" si="33"/>
        <v>1297.5</v>
      </c>
      <c r="AP31" s="52">
        <f t="shared" si="33"/>
        <v>1297.5</v>
      </c>
      <c r="AQ31" s="52">
        <f>Посетители!$K$12*AQ33</f>
        <v>0</v>
      </c>
      <c r="AR31" s="52">
        <f>Посетители!$K$12*AR33</f>
        <v>0</v>
      </c>
      <c r="AS31" s="52">
        <f>Посетители!$K$12*AS33</f>
        <v>0</v>
      </c>
      <c r="AT31" s="52">
        <f>Посетители!$K$12*AT33</f>
        <v>0</v>
      </c>
      <c r="AU31" s="52">
        <f>Посетители!$K$12*AU33</f>
        <v>0</v>
      </c>
      <c r="AV31" s="52">
        <f>Посетители!$K$12*AV33</f>
        <v>0</v>
      </c>
      <c r="AW31" s="52">
        <f>Посетители!$K$12*AW33</f>
        <v>0</v>
      </c>
      <c r="AX31" s="52">
        <f>Посетители!$K$12*AX33</f>
        <v>0</v>
      </c>
      <c r="AY31" s="52">
        <f>Посетители!$K$12*AY33</f>
        <v>0</v>
      </c>
      <c r="AZ31" s="52">
        <f>Посетители!$K$12*AZ33</f>
        <v>0</v>
      </c>
      <c r="BA31" s="52">
        <f>Посетители!$K$12*BA33</f>
        <v>0</v>
      </c>
      <c r="BB31" s="52">
        <f>Посетители!$K$12*BB33</f>
        <v>0</v>
      </c>
      <c r="BC31" s="52">
        <f>Посетители!$K$12*BC33</f>
        <v>0</v>
      </c>
      <c r="BD31" s="52">
        <f>Посетители!$K$12*BD33</f>
        <v>0</v>
      </c>
      <c r="BE31" s="52">
        <f>Посетители!$K$12*BE33</f>
        <v>0</v>
      </c>
      <c r="BF31" s="52">
        <f>Посетители!$K$12*BF33</f>
        <v>0</v>
      </c>
      <c r="BG31" s="52">
        <f>Посетители!$K$12*BG33</f>
        <v>0</v>
      </c>
      <c r="BH31" s="52">
        <f>Посетители!$K$12*BH33</f>
        <v>0</v>
      </c>
      <c r="BI31" s="52">
        <f>Посетители!$K$12*BI33</f>
        <v>0</v>
      </c>
      <c r="BJ31" s="52">
        <f>Посетители!$K$12*BJ33</f>
        <v>0</v>
      </c>
    </row>
    <row r="32" spans="1:62" ht="15.75" x14ac:dyDescent="0.25">
      <c r="A32" s="70"/>
      <c r="B32" s="71" t="s">
        <v>151</v>
      </c>
      <c r="C32" s="51"/>
      <c r="D32" s="51"/>
      <c r="E32" s="51"/>
      <c r="F32" s="51">
        <f>Модель!C24</f>
        <v>200000</v>
      </c>
      <c r="G32" s="52">
        <f>G18*15%</f>
        <v>15570</v>
      </c>
      <c r="H32" s="52">
        <f t="shared" ref="H32:AP32" si="34">H18*15%</f>
        <v>23355</v>
      </c>
      <c r="I32" s="52">
        <f t="shared" si="34"/>
        <v>27247.5</v>
      </c>
      <c r="J32" s="52">
        <f t="shared" si="34"/>
        <v>33086.25</v>
      </c>
      <c r="K32" s="346">
        <f t="shared" si="34"/>
        <v>38925</v>
      </c>
      <c r="L32" s="52">
        <f t="shared" si="34"/>
        <v>38925</v>
      </c>
      <c r="M32" s="52">
        <f t="shared" si="34"/>
        <v>38925</v>
      </c>
      <c r="N32" s="52">
        <f t="shared" si="34"/>
        <v>38925</v>
      </c>
      <c r="O32" s="52">
        <f t="shared" si="34"/>
        <v>38925</v>
      </c>
      <c r="P32" s="52">
        <f t="shared" si="34"/>
        <v>38925</v>
      </c>
      <c r="Q32" s="52">
        <f t="shared" si="34"/>
        <v>38925</v>
      </c>
      <c r="R32" s="52">
        <f t="shared" si="34"/>
        <v>38925</v>
      </c>
      <c r="S32" s="52">
        <f t="shared" si="34"/>
        <v>38925</v>
      </c>
      <c r="T32" s="52">
        <f t="shared" si="34"/>
        <v>38925</v>
      </c>
      <c r="U32" s="52">
        <f t="shared" si="34"/>
        <v>38925</v>
      </c>
      <c r="V32" s="52">
        <f t="shared" si="34"/>
        <v>38925</v>
      </c>
      <c r="W32" s="52">
        <f t="shared" si="34"/>
        <v>38925</v>
      </c>
      <c r="X32" s="52">
        <f t="shared" si="34"/>
        <v>38925</v>
      </c>
      <c r="Y32" s="52">
        <f t="shared" si="34"/>
        <v>38925</v>
      </c>
      <c r="Z32" s="52">
        <f t="shared" si="34"/>
        <v>38925</v>
      </c>
      <c r="AA32" s="52">
        <f t="shared" si="34"/>
        <v>38925</v>
      </c>
      <c r="AB32" s="52">
        <f t="shared" si="34"/>
        <v>38925</v>
      </c>
      <c r="AC32" s="52">
        <f t="shared" si="34"/>
        <v>38925</v>
      </c>
      <c r="AD32" s="52">
        <f t="shared" si="34"/>
        <v>38925</v>
      </c>
      <c r="AE32" s="52">
        <f t="shared" si="34"/>
        <v>38925</v>
      </c>
      <c r="AF32" s="52">
        <f t="shared" si="34"/>
        <v>38925</v>
      </c>
      <c r="AG32" s="52">
        <f t="shared" si="34"/>
        <v>38925</v>
      </c>
      <c r="AH32" s="52">
        <f t="shared" si="34"/>
        <v>38925</v>
      </c>
      <c r="AI32" s="52">
        <f t="shared" si="34"/>
        <v>38925</v>
      </c>
      <c r="AJ32" s="52">
        <f t="shared" si="34"/>
        <v>38925</v>
      </c>
      <c r="AK32" s="52">
        <f t="shared" si="34"/>
        <v>38925</v>
      </c>
      <c r="AL32" s="52">
        <f t="shared" si="34"/>
        <v>38925</v>
      </c>
      <c r="AM32" s="52">
        <f t="shared" si="34"/>
        <v>38925</v>
      </c>
      <c r="AN32" s="52">
        <f t="shared" si="34"/>
        <v>38925</v>
      </c>
      <c r="AO32" s="52">
        <f t="shared" si="34"/>
        <v>38925</v>
      </c>
      <c r="AP32" s="52">
        <f t="shared" si="34"/>
        <v>38925</v>
      </c>
      <c r="AQ32" s="52">
        <f>Посетители!$K$12*AQ34</f>
        <v>0</v>
      </c>
      <c r="AR32" s="52">
        <f>Посетители!$K$12*AR34</f>
        <v>0</v>
      </c>
      <c r="AS32" s="52">
        <f>Посетители!$K$12*AS34</f>
        <v>0</v>
      </c>
      <c r="AT32" s="52">
        <f>Посетители!$K$12*AT34</f>
        <v>0</v>
      </c>
      <c r="AU32" s="52">
        <f>Посетители!$K$12*AU34</f>
        <v>0</v>
      </c>
      <c r="AV32" s="52">
        <f>Посетители!$K$12*AV34</f>
        <v>0</v>
      </c>
      <c r="AW32" s="52">
        <f>Посетители!$K$12*AW34</f>
        <v>0</v>
      </c>
      <c r="AX32" s="52">
        <f>Посетители!$K$12*AX34</f>
        <v>0</v>
      </c>
      <c r="AY32" s="52">
        <f>Посетители!$K$12*AY34</f>
        <v>0</v>
      </c>
      <c r="AZ32" s="52">
        <f>Посетители!$K$12*AZ34</f>
        <v>0</v>
      </c>
      <c r="BA32" s="52">
        <f>Посетители!$K$12*BA34</f>
        <v>0</v>
      </c>
      <c r="BB32" s="52">
        <f>Посетители!$K$12*BB34</f>
        <v>0</v>
      </c>
      <c r="BC32" s="52">
        <f>Посетители!$K$12*BC34</f>
        <v>0</v>
      </c>
      <c r="BD32" s="52">
        <f>Посетители!$K$12*BD34</f>
        <v>0</v>
      </c>
      <c r="BE32" s="52">
        <f>Посетители!$K$12*BE34</f>
        <v>0</v>
      </c>
      <c r="BF32" s="52">
        <f>Посетители!$K$12*BF34</f>
        <v>0</v>
      </c>
      <c r="BG32" s="52">
        <f>Посетители!$K$12*BG34</f>
        <v>0</v>
      </c>
      <c r="BH32" s="52">
        <f>Посетители!$K$12*BH34</f>
        <v>0</v>
      </c>
      <c r="BI32" s="52">
        <f>Посетители!$K$12*BI34</f>
        <v>0</v>
      </c>
      <c r="BJ32" s="52">
        <f>Посетители!$K$12*BJ34</f>
        <v>0</v>
      </c>
    </row>
    <row r="33" spans="1:62" ht="15.75" x14ac:dyDescent="0.25">
      <c r="A33" s="30"/>
      <c r="B33" s="68" t="s">
        <v>22</v>
      </c>
      <c r="C33" s="69">
        <f t="shared" ref="C33:AH33" si="35">SUM(C21:C32)</f>
        <v>0</v>
      </c>
      <c r="D33" s="69">
        <f t="shared" si="35"/>
        <v>0</v>
      </c>
      <c r="E33" s="69">
        <f t="shared" si="35"/>
        <v>500000</v>
      </c>
      <c r="F33" s="69">
        <f t="shared" si="35"/>
        <v>200000</v>
      </c>
      <c r="G33" s="69">
        <f>SUM(G21:G32)</f>
        <v>130064</v>
      </c>
      <c r="H33" s="73">
        <f t="shared" si="35"/>
        <v>144596</v>
      </c>
      <c r="I33" s="73">
        <f t="shared" si="35"/>
        <v>151862</v>
      </c>
      <c r="J33" s="73">
        <f t="shared" si="35"/>
        <v>162761</v>
      </c>
      <c r="K33" s="353">
        <f t="shared" si="35"/>
        <v>173660</v>
      </c>
      <c r="L33" s="73">
        <f t="shared" si="35"/>
        <v>173660</v>
      </c>
      <c r="M33" s="73">
        <f t="shared" si="35"/>
        <v>173660</v>
      </c>
      <c r="N33" s="73">
        <f t="shared" si="35"/>
        <v>173660</v>
      </c>
      <c r="O33" s="73">
        <f t="shared" si="35"/>
        <v>173660</v>
      </c>
      <c r="P33" s="73">
        <f>SUM(P21:P32)</f>
        <v>173660</v>
      </c>
      <c r="Q33" s="73">
        <f t="shared" si="35"/>
        <v>173660</v>
      </c>
      <c r="R33" s="264">
        <f t="shared" si="35"/>
        <v>173660</v>
      </c>
      <c r="S33" s="298">
        <f>SUM(S21:S32)</f>
        <v>173660</v>
      </c>
      <c r="T33" s="276">
        <f t="shared" si="35"/>
        <v>173660</v>
      </c>
      <c r="U33" s="69">
        <f t="shared" si="35"/>
        <v>173660</v>
      </c>
      <c r="V33" s="69">
        <f t="shared" si="35"/>
        <v>173660</v>
      </c>
      <c r="W33" s="69">
        <f t="shared" si="35"/>
        <v>173660</v>
      </c>
      <c r="X33" s="69">
        <f t="shared" si="35"/>
        <v>173660</v>
      </c>
      <c r="Y33" s="69">
        <f t="shared" si="35"/>
        <v>173660</v>
      </c>
      <c r="Z33" s="69">
        <f t="shared" si="35"/>
        <v>173660</v>
      </c>
      <c r="AA33" s="69">
        <f t="shared" si="35"/>
        <v>173660</v>
      </c>
      <c r="AB33" s="69">
        <f t="shared" si="35"/>
        <v>173660</v>
      </c>
      <c r="AC33" s="69">
        <f t="shared" si="35"/>
        <v>173660</v>
      </c>
      <c r="AD33" s="69">
        <f t="shared" si="35"/>
        <v>173660</v>
      </c>
      <c r="AE33" s="69">
        <f t="shared" si="35"/>
        <v>173660</v>
      </c>
      <c r="AF33" s="69">
        <f t="shared" si="35"/>
        <v>173660</v>
      </c>
      <c r="AG33" s="69">
        <f t="shared" si="35"/>
        <v>173660</v>
      </c>
      <c r="AH33" s="69">
        <f t="shared" si="35"/>
        <v>173660</v>
      </c>
      <c r="AI33" s="69">
        <f t="shared" ref="AI33:AP33" si="36">SUM(AI21:AI32)</f>
        <v>173660</v>
      </c>
      <c r="AJ33" s="69">
        <f t="shared" si="36"/>
        <v>173660</v>
      </c>
      <c r="AK33" s="69">
        <f t="shared" si="36"/>
        <v>173660</v>
      </c>
      <c r="AL33" s="69">
        <f t="shared" si="36"/>
        <v>173660</v>
      </c>
      <c r="AM33" s="69">
        <f t="shared" si="36"/>
        <v>173660</v>
      </c>
      <c r="AN33" s="69">
        <f t="shared" si="36"/>
        <v>173660</v>
      </c>
      <c r="AO33" s="69">
        <f t="shared" si="36"/>
        <v>173660</v>
      </c>
      <c r="AP33" s="69">
        <f t="shared" si="36"/>
        <v>173660</v>
      </c>
      <c r="AQ33" s="52">
        <f>Посетители!$K$12*AQ35</f>
        <v>0</v>
      </c>
      <c r="AR33" s="52">
        <f>Посетители!$K$12*AR35</f>
        <v>0</v>
      </c>
      <c r="AS33" s="52">
        <f>Посетители!$K$12*AS35</f>
        <v>0</v>
      </c>
      <c r="AT33" s="52">
        <f>Посетители!$K$12*AT35</f>
        <v>0</v>
      </c>
      <c r="AU33" s="52">
        <f>Посетители!$K$12*AU35</f>
        <v>0</v>
      </c>
      <c r="AV33" s="52">
        <f>Посетители!$K$12*AV35</f>
        <v>0</v>
      </c>
      <c r="AW33" s="52">
        <f>Посетители!$K$12*AW35</f>
        <v>0</v>
      </c>
      <c r="AX33" s="52">
        <f>Посетители!$K$12*AX35</f>
        <v>0</v>
      </c>
      <c r="AY33" s="52">
        <f>Посетители!$K$12*AY35</f>
        <v>0</v>
      </c>
      <c r="AZ33" s="52">
        <f>Посетители!$K$12*AZ35</f>
        <v>0</v>
      </c>
      <c r="BA33" s="52">
        <f>Посетители!$K$12*BA35</f>
        <v>0</v>
      </c>
      <c r="BB33" s="52">
        <f>Посетители!$K$12*BB35</f>
        <v>0</v>
      </c>
      <c r="BC33" s="52">
        <f>Посетители!$K$12*BC35</f>
        <v>0</v>
      </c>
      <c r="BD33" s="52">
        <f>Посетители!$K$12*BD35</f>
        <v>0</v>
      </c>
      <c r="BE33" s="52">
        <f>Посетители!$K$12*BE35</f>
        <v>0</v>
      </c>
      <c r="BF33" s="52">
        <f>Посетители!$K$12*BF35</f>
        <v>0</v>
      </c>
      <c r="BG33" s="52">
        <f>Посетители!$K$12*BG35</f>
        <v>0</v>
      </c>
      <c r="BH33" s="52">
        <f>Посетители!$K$12*BH35</f>
        <v>0</v>
      </c>
      <c r="BI33" s="52">
        <f>Посетители!$K$12*BI35</f>
        <v>0</v>
      </c>
      <c r="BJ33" s="52">
        <f>Посетители!$K$12*BJ35</f>
        <v>0</v>
      </c>
    </row>
    <row r="34" spans="1:62" ht="16.5" thickBot="1" x14ac:dyDescent="0.3">
      <c r="A34" s="74"/>
      <c r="B34" s="75" t="s">
        <v>23</v>
      </c>
      <c r="C34" s="76">
        <f t="shared" ref="C34:AH34" si="37">C18-C33</f>
        <v>0</v>
      </c>
      <c r="D34" s="76">
        <f t="shared" si="37"/>
        <v>0</v>
      </c>
      <c r="E34" s="76">
        <f t="shared" si="37"/>
        <v>-500000</v>
      </c>
      <c r="F34" s="76">
        <f t="shared" si="37"/>
        <v>-200000</v>
      </c>
      <c r="G34" s="76">
        <f t="shared" si="37"/>
        <v>-26264</v>
      </c>
      <c r="H34" s="76">
        <f t="shared" si="37"/>
        <v>11104</v>
      </c>
      <c r="I34" s="76">
        <f t="shared" si="37"/>
        <v>29788</v>
      </c>
      <c r="J34" s="76">
        <f t="shared" si="37"/>
        <v>57814</v>
      </c>
      <c r="K34" s="354">
        <f t="shared" si="37"/>
        <v>85840</v>
      </c>
      <c r="L34" s="76">
        <f t="shared" si="37"/>
        <v>85840</v>
      </c>
      <c r="M34" s="76">
        <f t="shared" si="37"/>
        <v>85840</v>
      </c>
      <c r="N34" s="76">
        <f t="shared" si="37"/>
        <v>85840</v>
      </c>
      <c r="O34" s="76">
        <f t="shared" si="37"/>
        <v>85840</v>
      </c>
      <c r="P34" s="76">
        <f t="shared" si="37"/>
        <v>85840</v>
      </c>
      <c r="Q34" s="76">
        <f t="shared" si="37"/>
        <v>85840</v>
      </c>
      <c r="R34" s="265">
        <f t="shared" si="37"/>
        <v>85840</v>
      </c>
      <c r="S34" s="299">
        <f>S18-S33</f>
        <v>85840</v>
      </c>
      <c r="T34" s="277">
        <f t="shared" si="37"/>
        <v>85840</v>
      </c>
      <c r="U34" s="76">
        <f t="shared" si="37"/>
        <v>85840</v>
      </c>
      <c r="V34" s="76">
        <f t="shared" si="37"/>
        <v>85840</v>
      </c>
      <c r="W34" s="76">
        <f t="shared" si="37"/>
        <v>85840</v>
      </c>
      <c r="X34" s="76">
        <f t="shared" si="37"/>
        <v>85840</v>
      </c>
      <c r="Y34" s="76">
        <f t="shared" si="37"/>
        <v>85840</v>
      </c>
      <c r="Z34" s="76">
        <f t="shared" si="37"/>
        <v>85840</v>
      </c>
      <c r="AA34" s="76">
        <f t="shared" si="37"/>
        <v>85840</v>
      </c>
      <c r="AB34" s="76">
        <f t="shared" si="37"/>
        <v>85840</v>
      </c>
      <c r="AC34" s="76">
        <f t="shared" si="37"/>
        <v>85840</v>
      </c>
      <c r="AD34" s="76">
        <f t="shared" si="37"/>
        <v>85840</v>
      </c>
      <c r="AE34" s="76">
        <f t="shared" si="37"/>
        <v>85840</v>
      </c>
      <c r="AF34" s="76">
        <f t="shared" si="37"/>
        <v>85840</v>
      </c>
      <c r="AG34" s="76">
        <f t="shared" si="37"/>
        <v>85840</v>
      </c>
      <c r="AH34" s="76">
        <f t="shared" si="37"/>
        <v>85840</v>
      </c>
      <c r="AI34" s="76">
        <f t="shared" ref="AI34:AP34" si="38">AI18-AI33</f>
        <v>85840</v>
      </c>
      <c r="AJ34" s="76">
        <f t="shared" si="38"/>
        <v>85840</v>
      </c>
      <c r="AK34" s="76">
        <f t="shared" si="38"/>
        <v>85840</v>
      </c>
      <c r="AL34" s="76">
        <f t="shared" si="38"/>
        <v>85840</v>
      </c>
      <c r="AM34" s="76">
        <f t="shared" si="38"/>
        <v>85840</v>
      </c>
      <c r="AN34" s="76">
        <f t="shared" si="38"/>
        <v>85840</v>
      </c>
      <c r="AO34" s="76">
        <f t="shared" si="38"/>
        <v>85840</v>
      </c>
      <c r="AP34" s="76">
        <f t="shared" si="38"/>
        <v>85840</v>
      </c>
      <c r="AQ34" s="52">
        <f>Посетители!$K$12*AQ36</f>
        <v>0</v>
      </c>
      <c r="AR34" s="52">
        <f>Посетители!$K$12*AR36</f>
        <v>0</v>
      </c>
      <c r="AS34" s="52">
        <f>Посетители!$K$12*AS36</f>
        <v>0</v>
      </c>
      <c r="AT34" s="52">
        <f>Посетители!$K$12*AT36</f>
        <v>0</v>
      </c>
      <c r="AU34" s="52">
        <f>Посетители!$K$12*AU36</f>
        <v>0</v>
      </c>
      <c r="AV34" s="52">
        <f>Посетители!$K$12*AV36</f>
        <v>0</v>
      </c>
      <c r="AW34" s="52">
        <f>Посетители!$K$12*AW36</f>
        <v>0</v>
      </c>
      <c r="AX34" s="52">
        <f>Посетители!$K$12*AX36</f>
        <v>0</v>
      </c>
      <c r="AY34" s="52">
        <f>Посетители!$K$12*AY36</f>
        <v>0</v>
      </c>
      <c r="AZ34" s="52">
        <f>Посетители!$K$12*AZ36</f>
        <v>0</v>
      </c>
      <c r="BA34" s="52">
        <f>Посетители!$K$12*BA36</f>
        <v>0</v>
      </c>
      <c r="BB34" s="52">
        <f>Посетители!$K$12*BB36</f>
        <v>0</v>
      </c>
      <c r="BC34" s="52">
        <f>Посетители!$K$12*BC36</f>
        <v>0</v>
      </c>
      <c r="BD34" s="52">
        <f>Посетители!$K$12*BD36</f>
        <v>0</v>
      </c>
      <c r="BE34" s="52">
        <f>Посетители!$K$12*BE36</f>
        <v>0</v>
      </c>
      <c r="BF34" s="52">
        <f>Посетители!$K$12*BF36</f>
        <v>0</v>
      </c>
      <c r="BG34" s="52">
        <f>Посетители!$K$12*BG36</f>
        <v>0</v>
      </c>
      <c r="BH34" s="52">
        <f>Посетители!$K$12*BH36</f>
        <v>0</v>
      </c>
      <c r="BI34" s="52">
        <f>Посетители!$K$12*BI36</f>
        <v>0</v>
      </c>
      <c r="BJ34" s="52">
        <f>Посетители!$K$12*BJ36</f>
        <v>0</v>
      </c>
    </row>
    <row r="35" spans="1:62" ht="16.5" thickBot="1" x14ac:dyDescent="0.3">
      <c r="A35" s="78"/>
      <c r="B35" s="79"/>
      <c r="C35" s="80"/>
      <c r="D35" s="80"/>
      <c r="E35" s="80"/>
      <c r="F35" s="80"/>
      <c r="G35" s="81"/>
      <c r="H35" s="80"/>
      <c r="I35" s="80"/>
      <c r="J35" s="80"/>
      <c r="K35" s="355"/>
      <c r="L35" s="80"/>
      <c r="M35" s="41"/>
      <c r="N35" s="41"/>
      <c r="O35" s="41"/>
      <c r="P35" s="41"/>
      <c r="Q35" s="41"/>
      <c r="R35" s="41"/>
      <c r="S35" s="291"/>
      <c r="T35" s="41"/>
      <c r="U35" s="41"/>
      <c r="V35" s="41"/>
      <c r="W35" s="41"/>
      <c r="X35" s="82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</row>
    <row r="36" spans="1:62" ht="15.75" hidden="1" x14ac:dyDescent="0.25">
      <c r="A36" s="83"/>
      <c r="B36" s="84" t="s">
        <v>24</v>
      </c>
      <c r="C36" s="85"/>
      <c r="D36" s="85"/>
      <c r="E36" s="85"/>
      <c r="F36" s="85"/>
      <c r="G36" s="86"/>
      <c r="H36" s="85"/>
      <c r="I36" s="85"/>
      <c r="J36" s="85"/>
      <c r="K36" s="356"/>
      <c r="L36" s="85"/>
      <c r="M36" s="85"/>
      <c r="N36" s="85"/>
      <c r="O36" s="85"/>
      <c r="P36" s="85"/>
      <c r="Q36" s="85"/>
      <c r="R36" s="85"/>
      <c r="S36" s="300"/>
      <c r="T36" s="87"/>
      <c r="U36" s="87"/>
      <c r="V36" s="87"/>
      <c r="W36" s="87"/>
      <c r="X36" s="88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</row>
    <row r="37" spans="1:62" ht="15.75" hidden="1" x14ac:dyDescent="0.25">
      <c r="A37" s="89"/>
      <c r="B37" s="90" t="s">
        <v>25</v>
      </c>
      <c r="C37" s="91"/>
      <c r="D37" s="91"/>
      <c r="E37" s="91"/>
      <c r="F37" s="92"/>
      <c r="G37" s="93"/>
      <c r="H37" s="91"/>
      <c r="I37" s="91"/>
      <c r="J37" s="91"/>
      <c r="K37" s="357"/>
      <c r="L37" s="91"/>
      <c r="M37" s="91"/>
      <c r="N37" s="91"/>
      <c r="O37" s="91"/>
      <c r="P37" s="91"/>
      <c r="Q37" s="91"/>
      <c r="R37" s="92"/>
      <c r="S37" s="301"/>
      <c r="T37" s="278"/>
      <c r="U37" s="91"/>
      <c r="V37" s="91"/>
      <c r="W37" s="91"/>
      <c r="X37" s="94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</row>
    <row r="38" spans="1:62" ht="16.5" hidden="1" thickBot="1" x14ac:dyDescent="0.3">
      <c r="A38" s="95"/>
      <c r="B38" s="90" t="s">
        <v>26</v>
      </c>
      <c r="C38" s="91"/>
      <c r="D38" s="91"/>
      <c r="E38" s="91"/>
      <c r="F38" s="92"/>
      <c r="G38" s="93"/>
      <c r="H38" s="91"/>
      <c r="I38" s="91"/>
      <c r="J38" s="91"/>
      <c r="K38" s="357"/>
      <c r="L38" s="91"/>
      <c r="M38" s="91"/>
      <c r="N38" s="91"/>
      <c r="O38" s="91"/>
      <c r="P38" s="91"/>
      <c r="Q38" s="91"/>
      <c r="R38" s="92"/>
      <c r="S38" s="301"/>
      <c r="T38" s="278"/>
      <c r="U38" s="91"/>
      <c r="V38" s="91"/>
      <c r="W38" s="91"/>
      <c r="X38" s="94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</row>
    <row r="39" spans="1:62" ht="16.5" hidden="1" thickBot="1" x14ac:dyDescent="0.3">
      <c r="A39" s="96"/>
      <c r="B39" s="97" t="s">
        <v>27</v>
      </c>
      <c r="C39" s="98">
        <f t="shared" ref="C39:AM39" si="39">C37-C38</f>
        <v>0</v>
      </c>
      <c r="D39" s="98">
        <f t="shared" si="39"/>
        <v>0</v>
      </c>
      <c r="E39" s="98">
        <f t="shared" si="39"/>
        <v>0</v>
      </c>
      <c r="F39" s="99">
        <f t="shared" si="39"/>
        <v>0</v>
      </c>
      <c r="G39" s="100">
        <f t="shared" si="39"/>
        <v>0</v>
      </c>
      <c r="H39" s="98">
        <f t="shared" si="39"/>
        <v>0</v>
      </c>
      <c r="I39" s="98">
        <f t="shared" si="39"/>
        <v>0</v>
      </c>
      <c r="J39" s="98">
        <f t="shared" si="39"/>
        <v>0</v>
      </c>
      <c r="K39" s="358">
        <f t="shared" si="39"/>
        <v>0</v>
      </c>
      <c r="L39" s="99">
        <f t="shared" si="39"/>
        <v>0</v>
      </c>
      <c r="M39" s="99">
        <f t="shared" si="39"/>
        <v>0</v>
      </c>
      <c r="N39" s="99">
        <f t="shared" si="39"/>
        <v>0</v>
      </c>
      <c r="O39" s="99">
        <f t="shared" si="39"/>
        <v>0</v>
      </c>
      <c r="P39" s="99">
        <f t="shared" si="39"/>
        <v>0</v>
      </c>
      <c r="Q39" s="99">
        <f t="shared" si="39"/>
        <v>0</v>
      </c>
      <c r="R39" s="99">
        <f t="shared" si="39"/>
        <v>0</v>
      </c>
      <c r="S39" s="302">
        <f t="shared" si="39"/>
        <v>0</v>
      </c>
      <c r="T39" s="98">
        <f t="shared" si="39"/>
        <v>0</v>
      </c>
      <c r="U39" s="98">
        <f t="shared" si="39"/>
        <v>0</v>
      </c>
      <c r="V39" s="98">
        <f t="shared" si="39"/>
        <v>0</v>
      </c>
      <c r="W39" s="98">
        <f t="shared" si="39"/>
        <v>0</v>
      </c>
      <c r="X39" s="101">
        <f t="shared" si="39"/>
        <v>0</v>
      </c>
      <c r="Y39" s="98">
        <f t="shared" si="39"/>
        <v>0</v>
      </c>
      <c r="Z39" s="98">
        <f t="shared" si="39"/>
        <v>0</v>
      </c>
      <c r="AA39" s="98">
        <f t="shared" si="39"/>
        <v>0</v>
      </c>
      <c r="AB39" s="98">
        <f t="shared" si="39"/>
        <v>0</v>
      </c>
      <c r="AC39" s="98">
        <f t="shared" si="39"/>
        <v>0</v>
      </c>
      <c r="AD39" s="98">
        <f t="shared" si="39"/>
        <v>0</v>
      </c>
      <c r="AE39" s="98">
        <f t="shared" si="39"/>
        <v>0</v>
      </c>
      <c r="AF39" s="98">
        <f t="shared" si="39"/>
        <v>0</v>
      </c>
      <c r="AG39" s="98">
        <f t="shared" si="39"/>
        <v>0</v>
      </c>
      <c r="AH39" s="98">
        <f t="shared" si="39"/>
        <v>0</v>
      </c>
      <c r="AI39" s="98">
        <f t="shared" si="39"/>
        <v>0</v>
      </c>
      <c r="AJ39" s="98">
        <f t="shared" si="39"/>
        <v>0</v>
      </c>
      <c r="AK39" s="98">
        <f t="shared" si="39"/>
        <v>0</v>
      </c>
      <c r="AL39" s="98">
        <f t="shared" si="39"/>
        <v>0</v>
      </c>
      <c r="AM39" s="98">
        <f t="shared" si="39"/>
        <v>0</v>
      </c>
      <c r="AN39" s="98">
        <f t="shared" ref="AN39:BJ39" si="40">AN37-AN38</f>
        <v>0</v>
      </c>
      <c r="AO39" s="98">
        <f t="shared" si="40"/>
        <v>0</v>
      </c>
      <c r="AP39" s="98">
        <f t="shared" si="40"/>
        <v>0</v>
      </c>
      <c r="AQ39" s="98">
        <f t="shared" si="40"/>
        <v>0</v>
      </c>
      <c r="AR39" s="98">
        <f t="shared" si="40"/>
        <v>0</v>
      </c>
      <c r="AS39" s="98">
        <f t="shared" si="40"/>
        <v>0</v>
      </c>
      <c r="AT39" s="98">
        <f t="shared" si="40"/>
        <v>0</v>
      </c>
      <c r="AU39" s="98">
        <f t="shared" si="40"/>
        <v>0</v>
      </c>
      <c r="AV39" s="98">
        <f t="shared" si="40"/>
        <v>0</v>
      </c>
      <c r="AW39" s="98">
        <f t="shared" si="40"/>
        <v>0</v>
      </c>
      <c r="AX39" s="98">
        <f t="shared" si="40"/>
        <v>0</v>
      </c>
      <c r="AY39" s="98">
        <f t="shared" si="40"/>
        <v>0</v>
      </c>
      <c r="AZ39" s="98">
        <f t="shared" si="40"/>
        <v>0</v>
      </c>
      <c r="BA39" s="98">
        <f t="shared" si="40"/>
        <v>0</v>
      </c>
      <c r="BB39" s="98">
        <f t="shared" si="40"/>
        <v>0</v>
      </c>
      <c r="BC39" s="98">
        <f t="shared" si="40"/>
        <v>0</v>
      </c>
      <c r="BD39" s="98">
        <f t="shared" si="40"/>
        <v>0</v>
      </c>
      <c r="BE39" s="98">
        <f t="shared" si="40"/>
        <v>0</v>
      </c>
      <c r="BF39" s="98">
        <f t="shared" si="40"/>
        <v>0</v>
      </c>
      <c r="BG39" s="98">
        <f t="shared" si="40"/>
        <v>0</v>
      </c>
      <c r="BH39" s="98">
        <f t="shared" si="40"/>
        <v>0</v>
      </c>
      <c r="BI39" s="98">
        <f t="shared" si="40"/>
        <v>0</v>
      </c>
      <c r="BJ39" s="98">
        <f t="shared" si="40"/>
        <v>0</v>
      </c>
    </row>
    <row r="40" spans="1:62" ht="15.75" hidden="1" x14ac:dyDescent="0.25">
      <c r="A40" s="30"/>
      <c r="B40" s="79"/>
      <c r="C40" s="80"/>
      <c r="D40" s="80"/>
      <c r="E40" s="80"/>
      <c r="F40" s="80"/>
      <c r="G40" s="81"/>
      <c r="H40" s="80"/>
      <c r="I40" s="80"/>
      <c r="J40" s="80"/>
      <c r="K40" s="355"/>
      <c r="L40" s="80"/>
      <c r="M40" s="41"/>
      <c r="N40" s="41"/>
      <c r="O40" s="41"/>
      <c r="P40" s="41"/>
      <c r="Q40" s="41"/>
      <c r="R40" s="41"/>
      <c r="S40" s="291"/>
      <c r="T40" s="41"/>
      <c r="U40" s="41"/>
      <c r="V40" s="41"/>
      <c r="W40" s="41"/>
      <c r="X40" s="43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</row>
    <row r="41" spans="1:62" ht="15.75" hidden="1" x14ac:dyDescent="0.25">
      <c r="A41" s="30"/>
      <c r="B41" s="102" t="s">
        <v>28</v>
      </c>
      <c r="C41" s="103"/>
      <c r="D41" s="103"/>
      <c r="E41" s="103"/>
      <c r="F41" s="103"/>
      <c r="G41" s="103"/>
      <c r="H41" s="103"/>
      <c r="I41" s="103"/>
      <c r="J41" s="103"/>
      <c r="K41" s="359"/>
      <c r="L41" s="103"/>
      <c r="M41" s="103"/>
      <c r="N41" s="103"/>
      <c r="O41" s="103"/>
      <c r="P41" s="103"/>
      <c r="Q41" s="103"/>
      <c r="R41" s="103"/>
      <c r="S41" s="3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</row>
    <row r="42" spans="1:62" ht="15.75" hidden="1" x14ac:dyDescent="0.25">
      <c r="A42" s="30"/>
      <c r="B42" s="104" t="s">
        <v>29</v>
      </c>
      <c r="C42" s="105"/>
      <c r="D42" s="105"/>
      <c r="E42" s="105"/>
      <c r="F42" s="105"/>
      <c r="G42" s="105"/>
      <c r="H42" s="105"/>
      <c r="I42" s="105"/>
      <c r="J42" s="105"/>
      <c r="K42" s="360"/>
      <c r="L42" s="105"/>
      <c r="M42" s="105"/>
      <c r="N42" s="105"/>
      <c r="O42" s="105"/>
      <c r="P42" s="105"/>
      <c r="Q42" s="105"/>
      <c r="R42" s="105"/>
      <c r="S42" s="304"/>
      <c r="T42" s="105"/>
      <c r="U42" s="105"/>
      <c r="V42" s="105"/>
      <c r="W42" s="105"/>
      <c r="X42" s="82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</row>
    <row r="43" spans="1:62" ht="15.75" hidden="1" x14ac:dyDescent="0.25">
      <c r="A43" s="30"/>
      <c r="B43" s="104" t="s">
        <v>30</v>
      </c>
      <c r="C43" s="105"/>
      <c r="D43" s="105"/>
      <c r="E43" s="105"/>
      <c r="F43" s="105"/>
      <c r="G43" s="105"/>
      <c r="H43" s="105"/>
      <c r="I43" s="105"/>
      <c r="J43" s="105"/>
      <c r="K43" s="360"/>
      <c r="L43" s="105"/>
      <c r="M43" s="105"/>
      <c r="N43" s="105"/>
      <c r="O43" s="105"/>
      <c r="P43" s="105"/>
      <c r="Q43" s="105"/>
      <c r="R43" s="105"/>
      <c r="S43" s="304"/>
      <c r="T43" s="105"/>
      <c r="U43" s="105"/>
      <c r="V43" s="105"/>
      <c r="W43" s="105"/>
      <c r="X43" s="82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</row>
    <row r="44" spans="1:62" ht="15.75" hidden="1" x14ac:dyDescent="0.25">
      <c r="A44" s="30"/>
      <c r="B44" s="104" t="s">
        <v>31</v>
      </c>
      <c r="C44" s="105"/>
      <c r="D44" s="105"/>
      <c r="E44" s="105"/>
      <c r="F44" s="105"/>
      <c r="G44" s="105"/>
      <c r="H44" s="105"/>
      <c r="I44" s="105"/>
      <c r="J44" s="105"/>
      <c r="K44" s="360"/>
      <c r="L44" s="105"/>
      <c r="M44" s="105"/>
      <c r="N44" s="105"/>
      <c r="O44" s="105"/>
      <c r="P44" s="105"/>
      <c r="Q44" s="105"/>
      <c r="R44" s="105"/>
      <c r="S44" s="304"/>
      <c r="T44" s="105"/>
      <c r="U44" s="105"/>
      <c r="V44" s="105"/>
      <c r="W44" s="105"/>
      <c r="X44" s="82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</row>
    <row r="45" spans="1:62" ht="15.75" hidden="1" x14ac:dyDescent="0.25">
      <c r="A45" s="30"/>
      <c r="B45" s="104" t="s">
        <v>32</v>
      </c>
      <c r="C45" s="105"/>
      <c r="D45" s="105"/>
      <c r="E45" s="105"/>
      <c r="F45" s="105"/>
      <c r="G45" s="105"/>
      <c r="H45" s="105"/>
      <c r="I45" s="105"/>
      <c r="J45" s="105"/>
      <c r="K45" s="360"/>
      <c r="L45" s="105"/>
      <c r="M45" s="105"/>
      <c r="N45" s="105"/>
      <c r="O45" s="105"/>
      <c r="P45" s="105"/>
      <c r="Q45" s="105"/>
      <c r="R45" s="105"/>
      <c r="S45" s="304"/>
      <c r="T45" s="105"/>
      <c r="U45" s="105"/>
      <c r="V45" s="105"/>
      <c r="W45" s="105"/>
      <c r="X45" s="82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</row>
    <row r="46" spans="1:62" ht="15.75" hidden="1" x14ac:dyDescent="0.25">
      <c r="A46" s="30"/>
      <c r="B46" s="104" t="s">
        <v>33</v>
      </c>
      <c r="C46" s="105"/>
      <c r="D46" s="105"/>
      <c r="E46" s="105"/>
      <c r="F46" s="105"/>
      <c r="G46" s="105"/>
      <c r="H46" s="105"/>
      <c r="I46" s="105"/>
      <c r="J46" s="105"/>
      <c r="K46" s="360"/>
      <c r="L46" s="105"/>
      <c r="M46" s="105"/>
      <c r="N46" s="105"/>
      <c r="O46" s="105"/>
      <c r="P46" s="105"/>
      <c r="Q46" s="105"/>
      <c r="R46" s="105"/>
      <c r="S46" s="304"/>
      <c r="T46" s="105"/>
      <c r="U46" s="105"/>
      <c r="V46" s="105"/>
      <c r="W46" s="105"/>
      <c r="X46" s="82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</row>
    <row r="47" spans="1:62" ht="15.75" hidden="1" x14ac:dyDescent="0.25">
      <c r="A47" s="30"/>
      <c r="B47" s="104" t="s">
        <v>34</v>
      </c>
      <c r="C47" s="105"/>
      <c r="D47" s="105"/>
      <c r="E47" s="105"/>
      <c r="F47" s="105"/>
      <c r="G47" s="105"/>
      <c r="H47" s="105"/>
      <c r="I47" s="105"/>
      <c r="J47" s="105"/>
      <c r="K47" s="360"/>
      <c r="L47" s="105"/>
      <c r="M47" s="105"/>
      <c r="N47" s="105"/>
      <c r="O47" s="105"/>
      <c r="P47" s="105"/>
      <c r="Q47" s="105"/>
      <c r="R47" s="105"/>
      <c r="S47" s="304"/>
      <c r="T47" s="105"/>
      <c r="U47" s="105"/>
      <c r="V47" s="105"/>
      <c r="W47" s="105"/>
      <c r="X47" s="82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</row>
    <row r="48" spans="1:62" ht="15.75" hidden="1" x14ac:dyDescent="0.25">
      <c r="A48" s="30"/>
      <c r="B48" s="104" t="s">
        <v>35</v>
      </c>
      <c r="C48" s="105"/>
      <c r="D48" s="105"/>
      <c r="E48" s="105"/>
      <c r="F48" s="105"/>
      <c r="G48" s="105"/>
      <c r="H48" s="105"/>
      <c r="I48" s="105"/>
      <c r="J48" s="105"/>
      <c r="K48" s="360"/>
      <c r="L48" s="105"/>
      <c r="M48" s="105"/>
      <c r="N48" s="105"/>
      <c r="O48" s="105"/>
      <c r="P48" s="105"/>
      <c r="Q48" s="105"/>
      <c r="R48" s="105"/>
      <c r="S48" s="304"/>
      <c r="T48" s="105"/>
      <c r="U48" s="105"/>
      <c r="V48" s="105"/>
      <c r="W48" s="105"/>
      <c r="X48" s="82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</row>
    <row r="49" spans="1:62" ht="15.75" hidden="1" x14ac:dyDescent="0.25">
      <c r="A49" s="30"/>
      <c r="B49" s="104" t="s">
        <v>36</v>
      </c>
      <c r="C49" s="105"/>
      <c r="D49" s="105"/>
      <c r="E49" s="105"/>
      <c r="F49" s="105"/>
      <c r="G49" s="105"/>
      <c r="H49" s="105"/>
      <c r="I49" s="105"/>
      <c r="J49" s="105"/>
      <c r="K49" s="360"/>
      <c r="L49" s="105"/>
      <c r="M49" s="105"/>
      <c r="N49" s="105"/>
      <c r="O49" s="105"/>
      <c r="P49" s="105"/>
      <c r="Q49" s="105"/>
      <c r="R49" s="105"/>
      <c r="S49" s="304"/>
      <c r="T49" s="105"/>
      <c r="U49" s="105"/>
      <c r="V49" s="105"/>
      <c r="W49" s="105"/>
      <c r="X49" s="82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</row>
    <row r="50" spans="1:62" ht="15.75" hidden="1" x14ac:dyDescent="0.25">
      <c r="A50" s="30"/>
      <c r="B50" s="104" t="s">
        <v>37</v>
      </c>
      <c r="C50" s="105"/>
      <c r="D50" s="105"/>
      <c r="E50" s="105"/>
      <c r="F50" s="105"/>
      <c r="G50" s="105"/>
      <c r="H50" s="105"/>
      <c r="I50" s="105"/>
      <c r="J50" s="105"/>
      <c r="K50" s="360"/>
      <c r="L50" s="105"/>
      <c r="M50" s="105"/>
      <c r="N50" s="105"/>
      <c r="O50" s="105"/>
      <c r="P50" s="105"/>
      <c r="Q50" s="105"/>
      <c r="R50" s="105"/>
      <c r="S50" s="304"/>
      <c r="T50" s="105"/>
      <c r="U50" s="105"/>
      <c r="V50" s="105"/>
      <c r="W50" s="105"/>
      <c r="X50" s="82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</row>
    <row r="51" spans="1:62" ht="15.75" hidden="1" x14ac:dyDescent="0.25">
      <c r="A51" s="30"/>
      <c r="B51" s="104" t="s">
        <v>38</v>
      </c>
      <c r="C51" s="105"/>
      <c r="D51" s="105"/>
      <c r="E51" s="105"/>
      <c r="F51" s="105"/>
      <c r="G51" s="105"/>
      <c r="H51" s="105"/>
      <c r="I51" s="105"/>
      <c r="J51" s="105"/>
      <c r="K51" s="360"/>
      <c r="L51" s="105"/>
      <c r="M51" s="105"/>
      <c r="N51" s="105"/>
      <c r="O51" s="105"/>
      <c r="P51" s="105"/>
      <c r="Q51" s="105"/>
      <c r="R51" s="105"/>
      <c r="S51" s="304"/>
      <c r="T51" s="105"/>
      <c r="U51" s="105"/>
      <c r="V51" s="105"/>
      <c r="W51" s="105"/>
      <c r="X51" s="82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</row>
    <row r="52" spans="1:62" ht="15.75" hidden="1" x14ac:dyDescent="0.25">
      <c r="A52" s="30"/>
      <c r="B52" s="106" t="s">
        <v>39</v>
      </c>
      <c r="C52" s="107"/>
      <c r="D52" s="107"/>
      <c r="E52" s="107"/>
      <c r="F52" s="107"/>
      <c r="G52" s="108"/>
      <c r="H52" s="108"/>
      <c r="I52" s="108"/>
      <c r="J52" s="108"/>
      <c r="K52" s="361"/>
      <c r="L52" s="108"/>
      <c r="M52" s="108"/>
      <c r="N52" s="108"/>
      <c r="O52" s="108"/>
      <c r="P52" s="108"/>
      <c r="Q52" s="108"/>
      <c r="R52" s="266"/>
      <c r="S52" s="305"/>
      <c r="T52" s="27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10"/>
    </row>
    <row r="53" spans="1:62" ht="15.75" x14ac:dyDescent="0.25">
      <c r="A53" s="74"/>
      <c r="B53" s="111" t="s">
        <v>40</v>
      </c>
      <c r="C53" s="112">
        <f t="shared" ref="C53:AM53" si="41">(C$42+C$43+C$44+C$45)-(C$46+C47+C48+C49+C$50+C$51+C$52)</f>
        <v>0</v>
      </c>
      <c r="D53" s="112">
        <f t="shared" si="41"/>
        <v>0</v>
      </c>
      <c r="E53" s="112">
        <f t="shared" si="41"/>
        <v>0</v>
      </c>
      <c r="F53" s="112">
        <f t="shared" si="41"/>
        <v>0</v>
      </c>
      <c r="G53" s="112">
        <f t="shared" ref="G53" si="42">(G$42+G$43+G$44+G$45)-(G$46+G47+G48+G49+G$50+G$51+G$52)</f>
        <v>0</v>
      </c>
      <c r="H53" s="112">
        <f t="shared" si="41"/>
        <v>0</v>
      </c>
      <c r="I53" s="112">
        <f t="shared" si="41"/>
        <v>0</v>
      </c>
      <c r="J53" s="112">
        <f t="shared" si="41"/>
        <v>0</v>
      </c>
      <c r="K53" s="362">
        <f t="shared" si="41"/>
        <v>0</v>
      </c>
      <c r="L53" s="112">
        <f t="shared" si="41"/>
        <v>0</v>
      </c>
      <c r="M53" s="112">
        <f t="shared" si="41"/>
        <v>0</v>
      </c>
      <c r="N53" s="112">
        <f t="shared" si="41"/>
        <v>0</v>
      </c>
      <c r="O53" s="112">
        <f t="shared" si="41"/>
        <v>0</v>
      </c>
      <c r="P53" s="112">
        <f t="shared" si="41"/>
        <v>0</v>
      </c>
      <c r="Q53" s="112">
        <f t="shared" si="41"/>
        <v>0</v>
      </c>
      <c r="R53" s="267">
        <f t="shared" si="41"/>
        <v>0</v>
      </c>
      <c r="S53" s="306">
        <f t="shared" si="41"/>
        <v>0</v>
      </c>
      <c r="T53" s="280">
        <f t="shared" si="41"/>
        <v>0</v>
      </c>
      <c r="U53" s="112">
        <f t="shared" si="41"/>
        <v>0</v>
      </c>
      <c r="V53" s="112">
        <f t="shared" si="41"/>
        <v>0</v>
      </c>
      <c r="W53" s="112">
        <f t="shared" si="41"/>
        <v>0</v>
      </c>
      <c r="X53" s="112">
        <f t="shared" si="41"/>
        <v>0</v>
      </c>
      <c r="Y53" s="112">
        <f t="shared" si="41"/>
        <v>0</v>
      </c>
      <c r="Z53" s="112">
        <f t="shared" si="41"/>
        <v>0</v>
      </c>
      <c r="AA53" s="112">
        <f t="shared" si="41"/>
        <v>0</v>
      </c>
      <c r="AB53" s="112">
        <f t="shared" si="41"/>
        <v>0</v>
      </c>
      <c r="AC53" s="112">
        <f t="shared" si="41"/>
        <v>0</v>
      </c>
      <c r="AD53" s="112">
        <f t="shared" si="41"/>
        <v>0</v>
      </c>
      <c r="AE53" s="112">
        <f t="shared" si="41"/>
        <v>0</v>
      </c>
      <c r="AF53" s="112">
        <f t="shared" si="41"/>
        <v>0</v>
      </c>
      <c r="AG53" s="112">
        <f t="shared" si="41"/>
        <v>0</v>
      </c>
      <c r="AH53" s="112">
        <f t="shared" si="41"/>
        <v>0</v>
      </c>
      <c r="AI53" s="112">
        <f t="shared" si="41"/>
        <v>0</v>
      </c>
      <c r="AJ53" s="112">
        <f t="shared" si="41"/>
        <v>0</v>
      </c>
      <c r="AK53" s="112">
        <f t="shared" si="41"/>
        <v>0</v>
      </c>
      <c r="AL53" s="112">
        <f t="shared" si="41"/>
        <v>0</v>
      </c>
      <c r="AM53" s="112">
        <f t="shared" si="41"/>
        <v>0</v>
      </c>
      <c r="AN53" s="112">
        <f t="shared" ref="AN53:BJ53" si="43">(AN$42+AN$43+AN$44+AN$45)-(AN$46+AN47+AN48+AN49+AN$50+AN$51+AN$52)</f>
        <v>0</v>
      </c>
      <c r="AO53" s="112">
        <f t="shared" si="43"/>
        <v>0</v>
      </c>
      <c r="AP53" s="112">
        <f t="shared" si="43"/>
        <v>0</v>
      </c>
      <c r="AQ53" s="112">
        <f t="shared" si="43"/>
        <v>0</v>
      </c>
      <c r="AR53" s="112">
        <f t="shared" si="43"/>
        <v>0</v>
      </c>
      <c r="AS53" s="112">
        <f t="shared" si="43"/>
        <v>0</v>
      </c>
      <c r="AT53" s="112">
        <f t="shared" si="43"/>
        <v>0</v>
      </c>
      <c r="AU53" s="112">
        <f t="shared" si="43"/>
        <v>0</v>
      </c>
      <c r="AV53" s="112">
        <f t="shared" si="43"/>
        <v>0</v>
      </c>
      <c r="AW53" s="112">
        <f t="shared" si="43"/>
        <v>0</v>
      </c>
      <c r="AX53" s="112">
        <f t="shared" si="43"/>
        <v>0</v>
      </c>
      <c r="AY53" s="112">
        <f t="shared" si="43"/>
        <v>0</v>
      </c>
      <c r="AZ53" s="112">
        <f t="shared" si="43"/>
        <v>0</v>
      </c>
      <c r="BA53" s="112">
        <f t="shared" si="43"/>
        <v>0</v>
      </c>
      <c r="BB53" s="112">
        <f t="shared" si="43"/>
        <v>0</v>
      </c>
      <c r="BC53" s="112">
        <f t="shared" si="43"/>
        <v>0</v>
      </c>
      <c r="BD53" s="112">
        <f t="shared" si="43"/>
        <v>0</v>
      </c>
      <c r="BE53" s="112">
        <f t="shared" si="43"/>
        <v>0</v>
      </c>
      <c r="BF53" s="112">
        <f t="shared" si="43"/>
        <v>0</v>
      </c>
      <c r="BG53" s="112">
        <f t="shared" si="43"/>
        <v>0</v>
      </c>
      <c r="BH53" s="112">
        <f t="shared" si="43"/>
        <v>0</v>
      </c>
      <c r="BI53" s="112">
        <f t="shared" si="43"/>
        <v>0</v>
      </c>
      <c r="BJ53" s="113">
        <f t="shared" si="43"/>
        <v>0</v>
      </c>
    </row>
    <row r="54" spans="1:62" ht="16.5" hidden="1" thickBot="1" x14ac:dyDescent="0.3">
      <c r="A54" s="78"/>
      <c r="B54" s="114"/>
      <c r="C54" s="115"/>
      <c r="D54" s="115"/>
      <c r="E54" s="115"/>
      <c r="F54" s="115"/>
      <c r="G54" s="115"/>
      <c r="H54" s="115"/>
      <c r="I54" s="115"/>
      <c r="J54" s="115"/>
      <c r="K54" s="363"/>
      <c r="L54" s="115"/>
      <c r="M54" s="115"/>
      <c r="N54" s="115"/>
      <c r="O54" s="115"/>
      <c r="P54" s="115"/>
      <c r="Q54" s="115"/>
      <c r="R54" s="268"/>
      <c r="S54" s="307"/>
      <c r="T54" s="281"/>
      <c r="U54" s="115"/>
      <c r="V54" s="115"/>
      <c r="W54" s="115"/>
      <c r="X54" s="116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7"/>
    </row>
    <row r="55" spans="1:62" ht="15.75" hidden="1" x14ac:dyDescent="0.25">
      <c r="A55" s="83"/>
      <c r="B55" s="68" t="s">
        <v>41</v>
      </c>
      <c r="C55" s="112"/>
      <c r="D55" s="112"/>
      <c r="E55" s="112"/>
      <c r="F55" s="112"/>
      <c r="G55" s="112"/>
      <c r="H55" s="112"/>
      <c r="I55" s="112"/>
      <c r="J55" s="112"/>
      <c r="K55" s="362"/>
      <c r="L55" s="112"/>
      <c r="M55" s="112"/>
      <c r="N55" s="112"/>
      <c r="O55" s="112"/>
      <c r="P55" s="112"/>
      <c r="Q55" s="112"/>
      <c r="R55" s="267"/>
      <c r="S55" s="306"/>
      <c r="T55" s="280"/>
      <c r="U55" s="112"/>
      <c r="V55" s="112"/>
      <c r="W55" s="112"/>
      <c r="X55" s="118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3"/>
    </row>
    <row r="56" spans="1:62" ht="15.75" hidden="1" x14ac:dyDescent="0.25">
      <c r="A56" s="89"/>
      <c r="B56" s="72"/>
      <c r="C56" s="52"/>
      <c r="D56" s="52"/>
      <c r="E56" s="52"/>
      <c r="F56" s="52"/>
      <c r="G56" s="52"/>
      <c r="H56" s="52"/>
      <c r="I56" s="52"/>
      <c r="J56" s="52"/>
      <c r="K56" s="346"/>
      <c r="L56" s="52"/>
      <c r="M56" s="52"/>
      <c r="N56" s="52"/>
      <c r="O56" s="52"/>
      <c r="P56" s="52"/>
      <c r="Q56" s="52"/>
      <c r="R56" s="259"/>
      <c r="S56" s="293"/>
      <c r="T56" s="272"/>
      <c r="U56" s="52"/>
      <c r="V56" s="52"/>
      <c r="W56" s="52"/>
      <c r="X56" s="116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3"/>
    </row>
    <row r="57" spans="1:62" ht="15.75" hidden="1" x14ac:dyDescent="0.25">
      <c r="A57" s="89"/>
      <c r="B57" s="72"/>
      <c r="C57" s="52"/>
      <c r="D57" s="52"/>
      <c r="E57" s="52"/>
      <c r="F57" s="52"/>
      <c r="G57" s="52"/>
      <c r="H57" s="52"/>
      <c r="I57" s="52"/>
      <c r="J57" s="52"/>
      <c r="K57" s="346"/>
      <c r="L57" s="52"/>
      <c r="M57" s="52"/>
      <c r="N57" s="52"/>
      <c r="O57" s="52"/>
      <c r="P57" s="52"/>
      <c r="Q57" s="52"/>
      <c r="R57" s="259"/>
      <c r="S57" s="293"/>
      <c r="T57" s="272"/>
      <c r="U57" s="52"/>
      <c r="V57" s="52"/>
      <c r="W57" s="52"/>
      <c r="X57" s="116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3"/>
    </row>
    <row r="58" spans="1:62" ht="15.75" hidden="1" x14ac:dyDescent="0.25">
      <c r="A58" s="89"/>
      <c r="B58" s="72"/>
      <c r="C58" s="52"/>
      <c r="D58" s="52"/>
      <c r="E58" s="52"/>
      <c r="F58" s="52"/>
      <c r="G58" s="52"/>
      <c r="H58" s="52"/>
      <c r="I58" s="52"/>
      <c r="J58" s="52"/>
      <c r="K58" s="346"/>
      <c r="L58" s="52"/>
      <c r="M58" s="52"/>
      <c r="N58" s="52"/>
      <c r="O58" s="52"/>
      <c r="P58" s="52"/>
      <c r="Q58" s="52"/>
      <c r="R58" s="259"/>
      <c r="S58" s="293"/>
      <c r="T58" s="272"/>
      <c r="U58" s="52"/>
      <c r="V58" s="52"/>
      <c r="W58" s="52"/>
      <c r="X58" s="116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3"/>
    </row>
    <row r="59" spans="1:62" ht="15.75" hidden="1" x14ac:dyDescent="0.25">
      <c r="A59" s="119"/>
      <c r="B59" s="68" t="s">
        <v>42</v>
      </c>
      <c r="C59" s="120">
        <f t="shared" ref="C59:AM59" si="44">SUM(C56:C58)</f>
        <v>0</v>
      </c>
      <c r="D59" s="120">
        <f t="shared" si="44"/>
        <v>0</v>
      </c>
      <c r="E59" s="120">
        <f t="shared" si="44"/>
        <v>0</v>
      </c>
      <c r="F59" s="120">
        <f t="shared" si="44"/>
        <v>0</v>
      </c>
      <c r="G59" s="120">
        <f t="shared" si="44"/>
        <v>0</v>
      </c>
      <c r="H59" s="120">
        <f t="shared" si="44"/>
        <v>0</v>
      </c>
      <c r="I59" s="120">
        <f t="shared" si="44"/>
        <v>0</v>
      </c>
      <c r="J59" s="120">
        <f t="shared" si="44"/>
        <v>0</v>
      </c>
      <c r="K59" s="364">
        <f t="shared" si="44"/>
        <v>0</v>
      </c>
      <c r="L59" s="120">
        <f t="shared" si="44"/>
        <v>0</v>
      </c>
      <c r="M59" s="120">
        <f t="shared" si="44"/>
        <v>0</v>
      </c>
      <c r="N59" s="120">
        <f t="shared" si="44"/>
        <v>0</v>
      </c>
      <c r="O59" s="120">
        <f t="shared" si="44"/>
        <v>0</v>
      </c>
      <c r="P59" s="120">
        <f t="shared" si="44"/>
        <v>0</v>
      </c>
      <c r="Q59" s="120">
        <f t="shared" si="44"/>
        <v>0</v>
      </c>
      <c r="R59" s="269">
        <f t="shared" si="44"/>
        <v>0</v>
      </c>
      <c r="S59" s="308">
        <f t="shared" si="44"/>
        <v>0</v>
      </c>
      <c r="T59" s="282">
        <f t="shared" si="44"/>
        <v>0</v>
      </c>
      <c r="U59" s="120">
        <f t="shared" si="44"/>
        <v>0</v>
      </c>
      <c r="V59" s="120">
        <f t="shared" si="44"/>
        <v>0</v>
      </c>
      <c r="W59" s="120">
        <f t="shared" si="44"/>
        <v>0</v>
      </c>
      <c r="X59" s="121">
        <f t="shared" si="44"/>
        <v>0</v>
      </c>
      <c r="Y59" s="120">
        <f t="shared" si="44"/>
        <v>0</v>
      </c>
      <c r="Z59" s="120">
        <f t="shared" si="44"/>
        <v>0</v>
      </c>
      <c r="AA59" s="120">
        <f t="shared" si="44"/>
        <v>0</v>
      </c>
      <c r="AB59" s="120">
        <f t="shared" si="44"/>
        <v>0</v>
      </c>
      <c r="AC59" s="120">
        <f t="shared" si="44"/>
        <v>0</v>
      </c>
      <c r="AD59" s="120">
        <f t="shared" si="44"/>
        <v>0</v>
      </c>
      <c r="AE59" s="120">
        <f t="shared" si="44"/>
        <v>0</v>
      </c>
      <c r="AF59" s="120">
        <f t="shared" si="44"/>
        <v>0</v>
      </c>
      <c r="AG59" s="120">
        <f t="shared" si="44"/>
        <v>0</v>
      </c>
      <c r="AH59" s="120">
        <f t="shared" si="44"/>
        <v>0</v>
      </c>
      <c r="AI59" s="120">
        <f t="shared" si="44"/>
        <v>0</v>
      </c>
      <c r="AJ59" s="120">
        <f t="shared" si="44"/>
        <v>0</v>
      </c>
      <c r="AK59" s="120">
        <f t="shared" si="44"/>
        <v>0</v>
      </c>
      <c r="AL59" s="120">
        <f t="shared" si="44"/>
        <v>0</v>
      </c>
      <c r="AM59" s="120">
        <f t="shared" si="44"/>
        <v>0</v>
      </c>
      <c r="AN59" s="120">
        <f t="shared" ref="AN59:BJ59" si="45">SUM(AN56:AN58)</f>
        <v>0</v>
      </c>
      <c r="AO59" s="120">
        <f t="shared" si="45"/>
        <v>0</v>
      </c>
      <c r="AP59" s="120">
        <f t="shared" si="45"/>
        <v>0</v>
      </c>
      <c r="AQ59" s="120">
        <f t="shared" si="45"/>
        <v>0</v>
      </c>
      <c r="AR59" s="120">
        <f t="shared" si="45"/>
        <v>0</v>
      </c>
      <c r="AS59" s="120">
        <f t="shared" si="45"/>
        <v>0</v>
      </c>
      <c r="AT59" s="120">
        <f t="shared" si="45"/>
        <v>0</v>
      </c>
      <c r="AU59" s="120">
        <f t="shared" si="45"/>
        <v>0</v>
      </c>
      <c r="AV59" s="120">
        <f t="shared" si="45"/>
        <v>0</v>
      </c>
      <c r="AW59" s="120">
        <f t="shared" si="45"/>
        <v>0</v>
      </c>
      <c r="AX59" s="120">
        <f t="shared" si="45"/>
        <v>0</v>
      </c>
      <c r="AY59" s="120">
        <f t="shared" si="45"/>
        <v>0</v>
      </c>
      <c r="AZ59" s="120">
        <f t="shared" si="45"/>
        <v>0</v>
      </c>
      <c r="BA59" s="120">
        <f t="shared" si="45"/>
        <v>0</v>
      </c>
      <c r="BB59" s="120">
        <f t="shared" si="45"/>
        <v>0</v>
      </c>
      <c r="BC59" s="120">
        <f t="shared" si="45"/>
        <v>0</v>
      </c>
      <c r="BD59" s="120">
        <f t="shared" si="45"/>
        <v>0</v>
      </c>
      <c r="BE59" s="120">
        <f t="shared" si="45"/>
        <v>0</v>
      </c>
      <c r="BF59" s="120">
        <f t="shared" si="45"/>
        <v>0</v>
      </c>
      <c r="BG59" s="120">
        <f t="shared" si="45"/>
        <v>0</v>
      </c>
      <c r="BH59" s="120">
        <f t="shared" si="45"/>
        <v>0</v>
      </c>
      <c r="BI59" s="120">
        <f t="shared" si="45"/>
        <v>0</v>
      </c>
      <c r="BJ59" s="122">
        <f t="shared" si="45"/>
        <v>0</v>
      </c>
    </row>
    <row r="60" spans="1:62" ht="15.75" hidden="1" x14ac:dyDescent="0.25">
      <c r="A60" s="123"/>
      <c r="B60" s="68" t="s">
        <v>43</v>
      </c>
      <c r="C60" s="120"/>
      <c r="D60" s="120"/>
      <c r="E60" s="120"/>
      <c r="F60" s="120"/>
      <c r="G60" s="120"/>
      <c r="H60" s="120"/>
      <c r="I60" s="120"/>
      <c r="J60" s="120"/>
      <c r="K60" s="364"/>
      <c r="L60" s="120"/>
      <c r="M60" s="120"/>
      <c r="N60" s="120"/>
      <c r="O60" s="120"/>
      <c r="P60" s="120"/>
      <c r="Q60" s="120"/>
      <c r="R60" s="269"/>
      <c r="S60" s="308"/>
      <c r="T60" s="282"/>
      <c r="U60" s="120"/>
      <c r="V60" s="120"/>
      <c r="W60" s="120"/>
      <c r="X60" s="121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2"/>
    </row>
    <row r="61" spans="1:62" ht="15.75" hidden="1" x14ac:dyDescent="0.25">
      <c r="A61" s="89"/>
      <c r="B61" s="72"/>
      <c r="C61" s="52"/>
      <c r="D61" s="52"/>
      <c r="E61" s="52"/>
      <c r="F61" s="52"/>
      <c r="G61" s="52"/>
      <c r="H61" s="52"/>
      <c r="I61" s="52"/>
      <c r="J61" s="52"/>
      <c r="K61" s="346"/>
      <c r="L61" s="52"/>
      <c r="M61" s="52"/>
      <c r="N61" s="52"/>
      <c r="O61" s="52"/>
      <c r="P61" s="52"/>
      <c r="Q61" s="52"/>
      <c r="R61" s="259"/>
      <c r="S61" s="293"/>
      <c r="T61" s="272"/>
      <c r="U61" s="52"/>
      <c r="V61" s="52"/>
      <c r="W61" s="52"/>
      <c r="X61" s="116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3"/>
    </row>
    <row r="62" spans="1:62" ht="15.75" hidden="1" x14ac:dyDescent="0.25">
      <c r="A62" s="89"/>
      <c r="B62" s="72"/>
      <c r="C62" s="52"/>
      <c r="D62" s="52"/>
      <c r="E62" s="52"/>
      <c r="F62" s="52"/>
      <c r="G62" s="52"/>
      <c r="H62" s="52"/>
      <c r="I62" s="52"/>
      <c r="J62" s="52"/>
      <c r="K62" s="346"/>
      <c r="L62" s="52"/>
      <c r="M62" s="52"/>
      <c r="N62" s="52"/>
      <c r="O62" s="52"/>
      <c r="P62" s="52"/>
      <c r="Q62" s="52"/>
      <c r="R62" s="259"/>
      <c r="S62" s="293"/>
      <c r="T62" s="272"/>
      <c r="U62" s="52"/>
      <c r="V62" s="52"/>
      <c r="W62" s="52"/>
      <c r="X62" s="116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3"/>
    </row>
    <row r="63" spans="1:62" ht="15.75" hidden="1" x14ac:dyDescent="0.25">
      <c r="A63" s="89"/>
      <c r="B63" s="72"/>
      <c r="C63" s="52"/>
      <c r="D63" s="52"/>
      <c r="E63" s="52"/>
      <c r="F63" s="52"/>
      <c r="G63" s="52"/>
      <c r="H63" s="52"/>
      <c r="I63" s="52"/>
      <c r="J63" s="52"/>
      <c r="K63" s="346"/>
      <c r="L63" s="52"/>
      <c r="M63" s="52"/>
      <c r="N63" s="52"/>
      <c r="O63" s="52"/>
      <c r="P63" s="52"/>
      <c r="Q63" s="52"/>
      <c r="R63" s="259"/>
      <c r="S63" s="293"/>
      <c r="T63" s="272"/>
      <c r="U63" s="52"/>
      <c r="V63" s="52"/>
      <c r="W63" s="52"/>
      <c r="X63" s="116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3"/>
    </row>
    <row r="64" spans="1:62" ht="15.75" hidden="1" x14ac:dyDescent="0.25">
      <c r="A64" s="123"/>
      <c r="B64" s="68" t="s">
        <v>44</v>
      </c>
      <c r="C64" s="120">
        <f t="shared" ref="C64:AM64" si="46">SUM(C61:C63)</f>
        <v>0</v>
      </c>
      <c r="D64" s="120">
        <f t="shared" si="46"/>
        <v>0</v>
      </c>
      <c r="E64" s="120">
        <f t="shared" si="46"/>
        <v>0</v>
      </c>
      <c r="F64" s="120">
        <f t="shared" si="46"/>
        <v>0</v>
      </c>
      <c r="G64" s="120">
        <f t="shared" si="46"/>
        <v>0</v>
      </c>
      <c r="H64" s="120">
        <f t="shared" si="46"/>
        <v>0</v>
      </c>
      <c r="I64" s="120">
        <f t="shared" si="46"/>
        <v>0</v>
      </c>
      <c r="J64" s="120">
        <f t="shared" si="46"/>
        <v>0</v>
      </c>
      <c r="K64" s="364">
        <f t="shared" si="46"/>
        <v>0</v>
      </c>
      <c r="L64" s="120">
        <f t="shared" si="46"/>
        <v>0</v>
      </c>
      <c r="M64" s="120">
        <f t="shared" si="46"/>
        <v>0</v>
      </c>
      <c r="N64" s="120">
        <f t="shared" si="46"/>
        <v>0</v>
      </c>
      <c r="O64" s="120">
        <f t="shared" si="46"/>
        <v>0</v>
      </c>
      <c r="P64" s="120">
        <f t="shared" si="46"/>
        <v>0</v>
      </c>
      <c r="Q64" s="120">
        <f t="shared" si="46"/>
        <v>0</v>
      </c>
      <c r="R64" s="269">
        <f t="shared" si="46"/>
        <v>0</v>
      </c>
      <c r="S64" s="308">
        <f t="shared" si="46"/>
        <v>0</v>
      </c>
      <c r="T64" s="282">
        <f t="shared" si="46"/>
        <v>0</v>
      </c>
      <c r="U64" s="120">
        <f t="shared" si="46"/>
        <v>0</v>
      </c>
      <c r="V64" s="120">
        <f t="shared" si="46"/>
        <v>0</v>
      </c>
      <c r="W64" s="120">
        <f t="shared" si="46"/>
        <v>0</v>
      </c>
      <c r="X64" s="121">
        <f t="shared" si="46"/>
        <v>0</v>
      </c>
      <c r="Y64" s="120">
        <f t="shared" si="46"/>
        <v>0</v>
      </c>
      <c r="Z64" s="120">
        <f t="shared" si="46"/>
        <v>0</v>
      </c>
      <c r="AA64" s="120">
        <f t="shared" si="46"/>
        <v>0</v>
      </c>
      <c r="AB64" s="120">
        <f t="shared" si="46"/>
        <v>0</v>
      </c>
      <c r="AC64" s="120">
        <f t="shared" si="46"/>
        <v>0</v>
      </c>
      <c r="AD64" s="120">
        <f t="shared" si="46"/>
        <v>0</v>
      </c>
      <c r="AE64" s="120">
        <f t="shared" si="46"/>
        <v>0</v>
      </c>
      <c r="AF64" s="120">
        <f t="shared" si="46"/>
        <v>0</v>
      </c>
      <c r="AG64" s="120">
        <f t="shared" si="46"/>
        <v>0</v>
      </c>
      <c r="AH64" s="120">
        <f t="shared" si="46"/>
        <v>0</v>
      </c>
      <c r="AI64" s="120">
        <f t="shared" si="46"/>
        <v>0</v>
      </c>
      <c r="AJ64" s="120">
        <f t="shared" si="46"/>
        <v>0</v>
      </c>
      <c r="AK64" s="120">
        <f t="shared" si="46"/>
        <v>0</v>
      </c>
      <c r="AL64" s="120">
        <f t="shared" si="46"/>
        <v>0</v>
      </c>
      <c r="AM64" s="120">
        <f t="shared" si="46"/>
        <v>0</v>
      </c>
      <c r="AN64" s="120">
        <f t="shared" ref="AN64:BJ64" si="47">SUM(AN61:AN63)</f>
        <v>0</v>
      </c>
      <c r="AO64" s="120">
        <f t="shared" si="47"/>
        <v>0</v>
      </c>
      <c r="AP64" s="120">
        <f t="shared" si="47"/>
        <v>0</v>
      </c>
      <c r="AQ64" s="120">
        <f t="shared" si="47"/>
        <v>0</v>
      </c>
      <c r="AR64" s="120">
        <f t="shared" si="47"/>
        <v>0</v>
      </c>
      <c r="AS64" s="120">
        <f t="shared" si="47"/>
        <v>0</v>
      </c>
      <c r="AT64" s="120">
        <f t="shared" si="47"/>
        <v>0</v>
      </c>
      <c r="AU64" s="120">
        <f t="shared" si="47"/>
        <v>0</v>
      </c>
      <c r="AV64" s="120">
        <f t="shared" si="47"/>
        <v>0</v>
      </c>
      <c r="AW64" s="120">
        <f t="shared" si="47"/>
        <v>0</v>
      </c>
      <c r="AX64" s="120">
        <f t="shared" si="47"/>
        <v>0</v>
      </c>
      <c r="AY64" s="120">
        <f t="shared" si="47"/>
        <v>0</v>
      </c>
      <c r="AZ64" s="120">
        <f t="shared" si="47"/>
        <v>0</v>
      </c>
      <c r="BA64" s="120">
        <f t="shared" si="47"/>
        <v>0</v>
      </c>
      <c r="BB64" s="120">
        <f t="shared" si="47"/>
        <v>0</v>
      </c>
      <c r="BC64" s="120">
        <f t="shared" si="47"/>
        <v>0</v>
      </c>
      <c r="BD64" s="120">
        <f t="shared" si="47"/>
        <v>0</v>
      </c>
      <c r="BE64" s="120">
        <f t="shared" si="47"/>
        <v>0</v>
      </c>
      <c r="BF64" s="120">
        <f t="shared" si="47"/>
        <v>0</v>
      </c>
      <c r="BG64" s="120">
        <f t="shared" si="47"/>
        <v>0</v>
      </c>
      <c r="BH64" s="120">
        <f t="shared" si="47"/>
        <v>0</v>
      </c>
      <c r="BI64" s="120">
        <f t="shared" si="47"/>
        <v>0</v>
      </c>
      <c r="BJ64" s="122">
        <f t="shared" si="47"/>
        <v>0</v>
      </c>
    </row>
    <row r="65" spans="1:62" ht="15.75" hidden="1" x14ac:dyDescent="0.25">
      <c r="A65" s="124"/>
      <c r="B65" s="111" t="s">
        <v>45</v>
      </c>
      <c r="C65" s="112">
        <f t="shared" ref="C65:AM65" si="48">C59-C64</f>
        <v>0</v>
      </c>
      <c r="D65" s="112">
        <f t="shared" si="48"/>
        <v>0</v>
      </c>
      <c r="E65" s="112">
        <f t="shared" si="48"/>
        <v>0</v>
      </c>
      <c r="F65" s="112">
        <f t="shared" si="48"/>
        <v>0</v>
      </c>
      <c r="G65" s="112">
        <f t="shared" si="48"/>
        <v>0</v>
      </c>
      <c r="H65" s="112">
        <f t="shared" si="48"/>
        <v>0</v>
      </c>
      <c r="I65" s="112">
        <f t="shared" si="48"/>
        <v>0</v>
      </c>
      <c r="J65" s="112">
        <f t="shared" si="48"/>
        <v>0</v>
      </c>
      <c r="K65" s="362">
        <f t="shared" si="48"/>
        <v>0</v>
      </c>
      <c r="L65" s="112">
        <f t="shared" si="48"/>
        <v>0</v>
      </c>
      <c r="M65" s="112">
        <f t="shared" si="48"/>
        <v>0</v>
      </c>
      <c r="N65" s="112">
        <f t="shared" si="48"/>
        <v>0</v>
      </c>
      <c r="O65" s="112">
        <f t="shared" si="48"/>
        <v>0</v>
      </c>
      <c r="P65" s="112">
        <f t="shared" si="48"/>
        <v>0</v>
      </c>
      <c r="Q65" s="112">
        <f t="shared" si="48"/>
        <v>0</v>
      </c>
      <c r="R65" s="267">
        <f t="shared" si="48"/>
        <v>0</v>
      </c>
      <c r="S65" s="306">
        <f t="shared" si="48"/>
        <v>0</v>
      </c>
      <c r="T65" s="280">
        <f t="shared" si="48"/>
        <v>0</v>
      </c>
      <c r="U65" s="112">
        <f t="shared" si="48"/>
        <v>0</v>
      </c>
      <c r="V65" s="112">
        <f t="shared" si="48"/>
        <v>0</v>
      </c>
      <c r="W65" s="112">
        <f t="shared" si="48"/>
        <v>0</v>
      </c>
      <c r="X65" s="118">
        <f t="shared" si="48"/>
        <v>0</v>
      </c>
      <c r="Y65" s="112">
        <f t="shared" si="48"/>
        <v>0</v>
      </c>
      <c r="Z65" s="112">
        <f t="shared" si="48"/>
        <v>0</v>
      </c>
      <c r="AA65" s="112">
        <f t="shared" si="48"/>
        <v>0</v>
      </c>
      <c r="AB65" s="112">
        <f t="shared" si="48"/>
        <v>0</v>
      </c>
      <c r="AC65" s="112">
        <f t="shared" si="48"/>
        <v>0</v>
      </c>
      <c r="AD65" s="112">
        <f t="shared" si="48"/>
        <v>0</v>
      </c>
      <c r="AE65" s="112">
        <f t="shared" si="48"/>
        <v>0</v>
      </c>
      <c r="AF65" s="112">
        <f t="shared" si="48"/>
        <v>0</v>
      </c>
      <c r="AG65" s="112">
        <f t="shared" si="48"/>
        <v>0</v>
      </c>
      <c r="AH65" s="112">
        <f t="shared" si="48"/>
        <v>0</v>
      </c>
      <c r="AI65" s="112">
        <f t="shared" si="48"/>
        <v>0</v>
      </c>
      <c r="AJ65" s="112">
        <f t="shared" si="48"/>
        <v>0</v>
      </c>
      <c r="AK65" s="112">
        <f t="shared" si="48"/>
        <v>0</v>
      </c>
      <c r="AL65" s="112">
        <f t="shared" si="48"/>
        <v>0</v>
      </c>
      <c r="AM65" s="112">
        <f t="shared" si="48"/>
        <v>0</v>
      </c>
      <c r="AN65" s="112">
        <f t="shared" ref="AN65:BJ65" si="49">AN59-AN64</f>
        <v>0</v>
      </c>
      <c r="AO65" s="112">
        <f t="shared" si="49"/>
        <v>0</v>
      </c>
      <c r="AP65" s="112">
        <f t="shared" si="49"/>
        <v>0</v>
      </c>
      <c r="AQ65" s="112">
        <f t="shared" si="49"/>
        <v>0</v>
      </c>
      <c r="AR65" s="112">
        <f t="shared" si="49"/>
        <v>0</v>
      </c>
      <c r="AS65" s="112">
        <f t="shared" si="49"/>
        <v>0</v>
      </c>
      <c r="AT65" s="112">
        <f t="shared" si="49"/>
        <v>0</v>
      </c>
      <c r="AU65" s="112">
        <f t="shared" si="49"/>
        <v>0</v>
      </c>
      <c r="AV65" s="112">
        <f t="shared" si="49"/>
        <v>0</v>
      </c>
      <c r="AW65" s="112">
        <f t="shared" si="49"/>
        <v>0</v>
      </c>
      <c r="AX65" s="112">
        <f t="shared" si="49"/>
        <v>0</v>
      </c>
      <c r="AY65" s="112">
        <f t="shared" si="49"/>
        <v>0</v>
      </c>
      <c r="AZ65" s="112">
        <f t="shared" si="49"/>
        <v>0</v>
      </c>
      <c r="BA65" s="112">
        <f t="shared" si="49"/>
        <v>0</v>
      </c>
      <c r="BB65" s="112">
        <f t="shared" si="49"/>
        <v>0</v>
      </c>
      <c r="BC65" s="112">
        <f t="shared" si="49"/>
        <v>0</v>
      </c>
      <c r="BD65" s="112">
        <f t="shared" si="49"/>
        <v>0</v>
      </c>
      <c r="BE65" s="112">
        <f t="shared" si="49"/>
        <v>0</v>
      </c>
      <c r="BF65" s="112">
        <f t="shared" si="49"/>
        <v>0</v>
      </c>
      <c r="BG65" s="112">
        <f t="shared" si="49"/>
        <v>0</v>
      </c>
      <c r="BH65" s="112">
        <f t="shared" si="49"/>
        <v>0</v>
      </c>
      <c r="BI65" s="112">
        <f t="shared" si="49"/>
        <v>0</v>
      </c>
      <c r="BJ65" s="113">
        <f t="shared" si="49"/>
        <v>0</v>
      </c>
    </row>
    <row r="66" spans="1:62" ht="16.5" thickBot="1" x14ac:dyDescent="0.3">
      <c r="A66" s="74"/>
      <c r="B66" s="75" t="s">
        <v>81</v>
      </c>
      <c r="C66" s="76"/>
      <c r="D66" s="76"/>
      <c r="E66" s="76"/>
      <c r="F66" s="76"/>
      <c r="G66" s="76">
        <f>G52</f>
        <v>0</v>
      </c>
      <c r="H66" s="76">
        <f>G66+H52</f>
        <v>0</v>
      </c>
      <c r="I66" s="76">
        <f t="shared" ref="I66:BJ66" si="50">H66+I52</f>
        <v>0</v>
      </c>
      <c r="J66" s="76">
        <f t="shared" si="50"/>
        <v>0</v>
      </c>
      <c r="K66" s="354">
        <f t="shared" si="50"/>
        <v>0</v>
      </c>
      <c r="L66" s="76">
        <f t="shared" si="50"/>
        <v>0</v>
      </c>
      <c r="M66" s="76">
        <f t="shared" si="50"/>
        <v>0</v>
      </c>
      <c r="N66" s="76">
        <f t="shared" si="50"/>
        <v>0</v>
      </c>
      <c r="O66" s="76">
        <f t="shared" si="50"/>
        <v>0</v>
      </c>
      <c r="P66" s="76">
        <f t="shared" si="50"/>
        <v>0</v>
      </c>
      <c r="Q66" s="76">
        <f t="shared" si="50"/>
        <v>0</v>
      </c>
      <c r="R66" s="265">
        <f t="shared" si="50"/>
        <v>0</v>
      </c>
      <c r="S66" s="299">
        <f t="shared" si="50"/>
        <v>0</v>
      </c>
      <c r="T66" s="277">
        <f t="shared" si="50"/>
        <v>0</v>
      </c>
      <c r="U66" s="76">
        <f t="shared" si="50"/>
        <v>0</v>
      </c>
      <c r="V66" s="76">
        <f t="shared" si="50"/>
        <v>0</v>
      </c>
      <c r="W66" s="76">
        <f t="shared" si="50"/>
        <v>0</v>
      </c>
      <c r="X66" s="76">
        <f t="shared" si="50"/>
        <v>0</v>
      </c>
      <c r="Y66" s="76">
        <f t="shared" si="50"/>
        <v>0</v>
      </c>
      <c r="Z66" s="76">
        <f t="shared" si="50"/>
        <v>0</v>
      </c>
      <c r="AA66" s="76">
        <f t="shared" si="50"/>
        <v>0</v>
      </c>
      <c r="AB66" s="76">
        <f t="shared" si="50"/>
        <v>0</v>
      </c>
      <c r="AC66" s="76">
        <f t="shared" si="50"/>
        <v>0</v>
      </c>
      <c r="AD66" s="76">
        <f t="shared" si="50"/>
        <v>0</v>
      </c>
      <c r="AE66" s="76">
        <f t="shared" si="50"/>
        <v>0</v>
      </c>
      <c r="AF66" s="76">
        <f t="shared" si="50"/>
        <v>0</v>
      </c>
      <c r="AG66" s="76">
        <f t="shared" si="50"/>
        <v>0</v>
      </c>
      <c r="AH66" s="76">
        <f t="shared" si="50"/>
        <v>0</v>
      </c>
      <c r="AI66" s="76">
        <f t="shared" si="50"/>
        <v>0</v>
      </c>
      <c r="AJ66" s="76">
        <f t="shared" si="50"/>
        <v>0</v>
      </c>
      <c r="AK66" s="76">
        <f t="shared" si="50"/>
        <v>0</v>
      </c>
      <c r="AL66" s="76">
        <f t="shared" si="50"/>
        <v>0</v>
      </c>
      <c r="AM66" s="76">
        <f t="shared" si="50"/>
        <v>0</v>
      </c>
      <c r="AN66" s="76">
        <f t="shared" si="50"/>
        <v>0</v>
      </c>
      <c r="AO66" s="76">
        <f t="shared" si="50"/>
        <v>0</v>
      </c>
      <c r="AP66" s="76">
        <f t="shared" si="50"/>
        <v>0</v>
      </c>
      <c r="AQ66" s="76">
        <f t="shared" si="50"/>
        <v>0</v>
      </c>
      <c r="AR66" s="76">
        <f t="shared" si="50"/>
        <v>0</v>
      </c>
      <c r="AS66" s="76">
        <f t="shared" si="50"/>
        <v>0</v>
      </c>
      <c r="AT66" s="76">
        <f t="shared" si="50"/>
        <v>0</v>
      </c>
      <c r="AU66" s="76">
        <f t="shared" si="50"/>
        <v>0</v>
      </c>
      <c r="AV66" s="76">
        <f t="shared" si="50"/>
        <v>0</v>
      </c>
      <c r="AW66" s="76">
        <f t="shared" si="50"/>
        <v>0</v>
      </c>
      <c r="AX66" s="76">
        <f t="shared" si="50"/>
        <v>0</v>
      </c>
      <c r="AY66" s="76">
        <f t="shared" si="50"/>
        <v>0</v>
      </c>
      <c r="AZ66" s="76">
        <f t="shared" si="50"/>
        <v>0</v>
      </c>
      <c r="BA66" s="76">
        <f t="shared" si="50"/>
        <v>0</v>
      </c>
      <c r="BB66" s="76">
        <f t="shared" si="50"/>
        <v>0</v>
      </c>
      <c r="BC66" s="76">
        <f t="shared" si="50"/>
        <v>0</v>
      </c>
      <c r="BD66" s="76">
        <f t="shared" si="50"/>
        <v>0</v>
      </c>
      <c r="BE66" s="76">
        <f t="shared" si="50"/>
        <v>0</v>
      </c>
      <c r="BF66" s="76">
        <f t="shared" si="50"/>
        <v>0</v>
      </c>
      <c r="BG66" s="76">
        <f t="shared" si="50"/>
        <v>0</v>
      </c>
      <c r="BH66" s="76">
        <f t="shared" si="50"/>
        <v>0</v>
      </c>
      <c r="BI66" s="76">
        <f t="shared" si="50"/>
        <v>0</v>
      </c>
      <c r="BJ66" s="77">
        <f t="shared" si="50"/>
        <v>0</v>
      </c>
    </row>
    <row r="67" spans="1:62" ht="16.5" thickBot="1" x14ac:dyDescent="0.3">
      <c r="A67" s="30"/>
      <c r="B67" s="22"/>
      <c r="C67" s="41"/>
      <c r="D67" s="41"/>
      <c r="E67" s="41"/>
      <c r="F67" s="41"/>
      <c r="G67" s="42"/>
      <c r="H67" s="41"/>
      <c r="I67" s="41"/>
      <c r="J67" s="41"/>
      <c r="K67" s="344"/>
      <c r="L67" s="41"/>
      <c r="M67" s="41"/>
      <c r="N67" s="41"/>
      <c r="O67" s="41"/>
      <c r="P67" s="41"/>
      <c r="Q67" s="41"/>
      <c r="R67" s="41"/>
      <c r="S67" s="291"/>
      <c r="T67" s="41"/>
      <c r="U67" s="41"/>
      <c r="V67" s="41"/>
      <c r="W67" s="41"/>
      <c r="X67" s="43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</row>
    <row r="68" spans="1:62" ht="16.5" thickBot="1" x14ac:dyDescent="0.3">
      <c r="A68" s="30"/>
      <c r="B68" s="125" t="s">
        <v>46</v>
      </c>
      <c r="C68" s="126">
        <f t="shared" ref="C68:AM68" si="51">C34+C39+C53+C65</f>
        <v>0</v>
      </c>
      <c r="D68" s="126">
        <f t="shared" si="51"/>
        <v>0</v>
      </c>
      <c r="E68" s="126">
        <f t="shared" si="51"/>
        <v>-500000</v>
      </c>
      <c r="F68" s="126">
        <f t="shared" si="51"/>
        <v>-200000</v>
      </c>
      <c r="G68" s="127">
        <f t="shared" si="51"/>
        <v>-26264</v>
      </c>
      <c r="H68" s="126">
        <f t="shared" si="51"/>
        <v>11104</v>
      </c>
      <c r="I68" s="126">
        <f t="shared" si="51"/>
        <v>29788</v>
      </c>
      <c r="J68" s="126">
        <f t="shared" si="51"/>
        <v>57814</v>
      </c>
      <c r="K68" s="365">
        <f t="shared" si="51"/>
        <v>85840</v>
      </c>
      <c r="L68" s="126">
        <f t="shared" si="51"/>
        <v>85840</v>
      </c>
      <c r="M68" s="126">
        <f t="shared" si="51"/>
        <v>85840</v>
      </c>
      <c r="N68" s="126">
        <f t="shared" si="51"/>
        <v>85840</v>
      </c>
      <c r="O68" s="126">
        <f t="shared" si="51"/>
        <v>85840</v>
      </c>
      <c r="P68" s="126">
        <f t="shared" si="51"/>
        <v>85840</v>
      </c>
      <c r="Q68" s="126">
        <f t="shared" si="51"/>
        <v>85840</v>
      </c>
      <c r="R68" s="126">
        <f t="shared" si="51"/>
        <v>85840</v>
      </c>
      <c r="S68" s="309">
        <f t="shared" si="51"/>
        <v>85840</v>
      </c>
      <c r="T68" s="128">
        <f t="shared" si="51"/>
        <v>85840</v>
      </c>
      <c r="U68" s="128">
        <f t="shared" si="51"/>
        <v>85840</v>
      </c>
      <c r="V68" s="128">
        <f t="shared" si="51"/>
        <v>85840</v>
      </c>
      <c r="W68" s="128">
        <f t="shared" si="51"/>
        <v>85840</v>
      </c>
      <c r="X68" s="129">
        <f t="shared" si="51"/>
        <v>85840</v>
      </c>
      <c r="Y68" s="128">
        <f t="shared" si="51"/>
        <v>85840</v>
      </c>
      <c r="Z68" s="128">
        <f t="shared" si="51"/>
        <v>85840</v>
      </c>
      <c r="AA68" s="128">
        <f t="shared" si="51"/>
        <v>85840</v>
      </c>
      <c r="AB68" s="128">
        <f t="shared" si="51"/>
        <v>85840</v>
      </c>
      <c r="AC68" s="128">
        <f t="shared" si="51"/>
        <v>85840</v>
      </c>
      <c r="AD68" s="128">
        <f t="shared" si="51"/>
        <v>85840</v>
      </c>
      <c r="AE68" s="128">
        <f t="shared" si="51"/>
        <v>85840</v>
      </c>
      <c r="AF68" s="128">
        <f t="shared" si="51"/>
        <v>85840</v>
      </c>
      <c r="AG68" s="128">
        <f t="shared" si="51"/>
        <v>85840</v>
      </c>
      <c r="AH68" s="128">
        <f t="shared" si="51"/>
        <v>85840</v>
      </c>
      <c r="AI68" s="128">
        <f t="shared" si="51"/>
        <v>85840</v>
      </c>
      <c r="AJ68" s="128">
        <f t="shared" si="51"/>
        <v>85840</v>
      </c>
      <c r="AK68" s="128">
        <f t="shared" si="51"/>
        <v>85840</v>
      </c>
      <c r="AL68" s="128">
        <f t="shared" si="51"/>
        <v>85840</v>
      </c>
      <c r="AM68" s="128">
        <f t="shared" si="51"/>
        <v>85840</v>
      </c>
      <c r="AN68" s="128">
        <f t="shared" ref="AN68:BJ68" si="52">AN34+AN39+AN53+AN65</f>
        <v>85840</v>
      </c>
      <c r="AO68" s="128">
        <f t="shared" si="52"/>
        <v>85840</v>
      </c>
      <c r="AP68" s="128">
        <f t="shared" si="52"/>
        <v>85840</v>
      </c>
      <c r="AQ68" s="128">
        <f t="shared" si="52"/>
        <v>0</v>
      </c>
      <c r="AR68" s="128">
        <f t="shared" si="52"/>
        <v>0</v>
      </c>
      <c r="AS68" s="128">
        <f t="shared" si="52"/>
        <v>0</v>
      </c>
      <c r="AT68" s="128">
        <f t="shared" si="52"/>
        <v>0</v>
      </c>
      <c r="AU68" s="128">
        <f t="shared" si="52"/>
        <v>0</v>
      </c>
      <c r="AV68" s="128">
        <f t="shared" si="52"/>
        <v>0</v>
      </c>
      <c r="AW68" s="128">
        <f t="shared" si="52"/>
        <v>0</v>
      </c>
      <c r="AX68" s="128">
        <f t="shared" si="52"/>
        <v>0</v>
      </c>
      <c r="AY68" s="128">
        <f t="shared" si="52"/>
        <v>0</v>
      </c>
      <c r="AZ68" s="128">
        <f t="shared" si="52"/>
        <v>0</v>
      </c>
      <c r="BA68" s="128">
        <f t="shared" si="52"/>
        <v>0</v>
      </c>
      <c r="BB68" s="128">
        <f t="shared" si="52"/>
        <v>0</v>
      </c>
      <c r="BC68" s="128">
        <f t="shared" si="52"/>
        <v>0</v>
      </c>
      <c r="BD68" s="128">
        <f t="shared" si="52"/>
        <v>0</v>
      </c>
      <c r="BE68" s="128">
        <f t="shared" si="52"/>
        <v>0</v>
      </c>
      <c r="BF68" s="128">
        <f t="shared" si="52"/>
        <v>0</v>
      </c>
      <c r="BG68" s="128">
        <f t="shared" si="52"/>
        <v>0</v>
      </c>
      <c r="BH68" s="128">
        <f t="shared" si="52"/>
        <v>0</v>
      </c>
      <c r="BI68" s="128">
        <f t="shared" si="52"/>
        <v>0</v>
      </c>
      <c r="BJ68" s="128">
        <f t="shared" si="52"/>
        <v>0</v>
      </c>
    </row>
    <row r="69" spans="1:62" ht="16.5" thickBot="1" x14ac:dyDescent="0.3">
      <c r="A69" s="30"/>
      <c r="B69" s="22"/>
      <c r="C69" s="41"/>
      <c r="D69" s="41"/>
      <c r="E69" s="41"/>
      <c r="F69" s="41"/>
      <c r="G69" s="42"/>
      <c r="H69" s="41"/>
      <c r="I69" s="41"/>
      <c r="J69" s="41"/>
      <c r="K69" s="344"/>
      <c r="L69" s="130"/>
      <c r="M69" s="41"/>
      <c r="N69" s="41"/>
      <c r="O69" s="41"/>
      <c r="P69" s="41"/>
      <c r="Q69" s="41"/>
      <c r="R69" s="41"/>
      <c r="S69" s="291"/>
      <c r="T69" s="41"/>
      <c r="U69" s="41"/>
      <c r="V69" s="41"/>
      <c r="W69" s="41"/>
      <c r="X69" s="43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</row>
    <row r="70" spans="1:62" ht="16.5" thickBot="1" x14ac:dyDescent="0.3">
      <c r="A70" s="131"/>
      <c r="B70" s="132" t="s">
        <v>47</v>
      </c>
      <c r="C70" s="133">
        <f t="shared" ref="C70:AH70" si="53">C11+C68</f>
        <v>700000</v>
      </c>
      <c r="D70" s="133">
        <f t="shared" si="53"/>
        <v>700000</v>
      </c>
      <c r="E70" s="133">
        <f t="shared" si="53"/>
        <v>200000</v>
      </c>
      <c r="F70" s="134">
        <f t="shared" si="53"/>
        <v>0</v>
      </c>
      <c r="G70" s="135">
        <f t="shared" si="53"/>
        <v>-26264</v>
      </c>
      <c r="H70" s="133">
        <f t="shared" si="53"/>
        <v>-15160</v>
      </c>
      <c r="I70" s="133">
        <f t="shared" si="53"/>
        <v>14628</v>
      </c>
      <c r="J70" s="133">
        <f t="shared" si="53"/>
        <v>72442</v>
      </c>
      <c r="K70" s="366">
        <f t="shared" si="53"/>
        <v>158282</v>
      </c>
      <c r="L70" s="133">
        <f t="shared" si="53"/>
        <v>244122</v>
      </c>
      <c r="M70" s="133">
        <f t="shared" si="53"/>
        <v>329962</v>
      </c>
      <c r="N70" s="133">
        <f t="shared" si="53"/>
        <v>415802</v>
      </c>
      <c r="O70" s="133">
        <f t="shared" si="53"/>
        <v>501642</v>
      </c>
      <c r="P70" s="133">
        <f t="shared" si="53"/>
        <v>587482</v>
      </c>
      <c r="Q70" s="133">
        <f t="shared" si="53"/>
        <v>673322</v>
      </c>
      <c r="R70" s="134">
        <f t="shared" si="53"/>
        <v>759162</v>
      </c>
      <c r="S70" s="310">
        <f t="shared" si="53"/>
        <v>845002</v>
      </c>
      <c r="T70" s="283">
        <f t="shared" si="53"/>
        <v>930842</v>
      </c>
      <c r="U70" s="133">
        <f t="shared" si="53"/>
        <v>1016682</v>
      </c>
      <c r="V70" s="133">
        <f t="shared" si="53"/>
        <v>1102522</v>
      </c>
      <c r="W70" s="133">
        <f t="shared" si="53"/>
        <v>1188362</v>
      </c>
      <c r="X70" s="133">
        <f t="shared" si="53"/>
        <v>1274202</v>
      </c>
      <c r="Y70" s="133">
        <f t="shared" si="53"/>
        <v>1360042</v>
      </c>
      <c r="Z70" s="133">
        <f t="shared" si="53"/>
        <v>1445882</v>
      </c>
      <c r="AA70" s="133">
        <f t="shared" si="53"/>
        <v>1531722</v>
      </c>
      <c r="AB70" s="133">
        <f t="shared" si="53"/>
        <v>1617562</v>
      </c>
      <c r="AC70" s="133">
        <f t="shared" si="53"/>
        <v>1703402</v>
      </c>
      <c r="AD70" s="133">
        <f t="shared" si="53"/>
        <v>1789242</v>
      </c>
      <c r="AE70" s="133">
        <f t="shared" si="53"/>
        <v>1875082</v>
      </c>
      <c r="AF70" s="133">
        <f t="shared" si="53"/>
        <v>1960922</v>
      </c>
      <c r="AG70" s="133">
        <f t="shared" si="53"/>
        <v>2046762</v>
      </c>
      <c r="AH70" s="133">
        <f t="shared" si="53"/>
        <v>2132602</v>
      </c>
      <c r="AI70" s="133">
        <f t="shared" ref="AI70:BJ70" si="54">AI11+AI68</f>
        <v>2218442</v>
      </c>
      <c r="AJ70" s="133">
        <f t="shared" si="54"/>
        <v>2304282</v>
      </c>
      <c r="AK70" s="133">
        <f t="shared" si="54"/>
        <v>2390122</v>
      </c>
      <c r="AL70" s="133">
        <f t="shared" si="54"/>
        <v>2475962</v>
      </c>
      <c r="AM70" s="133">
        <f t="shared" si="54"/>
        <v>2561802</v>
      </c>
      <c r="AN70" s="133">
        <f t="shared" si="54"/>
        <v>2647642</v>
      </c>
      <c r="AO70" s="133">
        <f t="shared" si="54"/>
        <v>2733482</v>
      </c>
      <c r="AP70" s="133">
        <f t="shared" si="54"/>
        <v>2819322</v>
      </c>
      <c r="AQ70" s="133">
        <f t="shared" si="54"/>
        <v>2819322</v>
      </c>
      <c r="AR70" s="133">
        <f t="shared" si="54"/>
        <v>2819322</v>
      </c>
      <c r="AS70" s="133">
        <f t="shared" si="54"/>
        <v>2819322</v>
      </c>
      <c r="AT70" s="133">
        <f t="shared" si="54"/>
        <v>2819322</v>
      </c>
      <c r="AU70" s="133">
        <f t="shared" si="54"/>
        <v>2819322</v>
      </c>
      <c r="AV70" s="133">
        <f t="shared" si="54"/>
        <v>2819322</v>
      </c>
      <c r="AW70" s="133">
        <f t="shared" si="54"/>
        <v>2819322</v>
      </c>
      <c r="AX70" s="133">
        <f t="shared" si="54"/>
        <v>2819322</v>
      </c>
      <c r="AY70" s="133">
        <f t="shared" si="54"/>
        <v>2819322</v>
      </c>
      <c r="AZ70" s="133">
        <f t="shared" si="54"/>
        <v>2819322</v>
      </c>
      <c r="BA70" s="133">
        <f t="shared" si="54"/>
        <v>2819322</v>
      </c>
      <c r="BB70" s="133">
        <f t="shared" si="54"/>
        <v>2819322</v>
      </c>
      <c r="BC70" s="133">
        <f t="shared" si="54"/>
        <v>2819322</v>
      </c>
      <c r="BD70" s="133">
        <f t="shared" si="54"/>
        <v>2819322</v>
      </c>
      <c r="BE70" s="133">
        <f t="shared" si="54"/>
        <v>2819322</v>
      </c>
      <c r="BF70" s="133">
        <f t="shared" si="54"/>
        <v>2819322</v>
      </c>
      <c r="BG70" s="133">
        <f t="shared" si="54"/>
        <v>2819322</v>
      </c>
      <c r="BH70" s="133">
        <f t="shared" si="54"/>
        <v>2819322</v>
      </c>
      <c r="BI70" s="133">
        <f t="shared" si="54"/>
        <v>2819322</v>
      </c>
      <c r="BJ70" s="133">
        <f t="shared" si="54"/>
        <v>2819322</v>
      </c>
    </row>
    <row r="71" spans="1:62" ht="17.25" customHeight="1" x14ac:dyDescent="0.25">
      <c r="A71" s="30"/>
      <c r="B71" s="22"/>
      <c r="C71" s="41"/>
      <c r="D71" s="41"/>
      <c r="E71" s="41"/>
      <c r="F71" s="41"/>
      <c r="G71" s="41"/>
      <c r="H71" s="41"/>
      <c r="I71" s="41"/>
      <c r="J71" s="41"/>
      <c r="K71" s="344"/>
      <c r="L71" s="41"/>
      <c r="M71" s="41"/>
      <c r="N71" s="41"/>
      <c r="O71" s="41"/>
      <c r="P71" s="41"/>
      <c r="Q71" s="41"/>
      <c r="R71" s="41"/>
      <c r="S71" s="291"/>
      <c r="T71" s="41"/>
      <c r="U71" s="41"/>
      <c r="V71" s="41"/>
      <c r="W71" s="41"/>
      <c r="X71" s="43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</row>
    <row r="72" spans="1:62" ht="17.25" customHeight="1" x14ac:dyDescent="0.25">
      <c r="A72" s="30"/>
      <c r="B72" s="22"/>
      <c r="C72" s="41"/>
      <c r="D72" s="41"/>
      <c r="E72" s="41"/>
      <c r="F72" s="41"/>
      <c r="G72" s="41"/>
      <c r="H72" s="41"/>
      <c r="I72" s="41"/>
      <c r="J72" s="41"/>
      <c r="K72" s="344"/>
      <c r="L72" s="41"/>
      <c r="M72" s="41"/>
      <c r="N72" s="41"/>
      <c r="O72" s="41"/>
      <c r="P72" s="41"/>
      <c r="Q72" s="41"/>
      <c r="R72" s="41"/>
      <c r="S72" s="291"/>
      <c r="T72" s="41"/>
      <c r="U72" s="41"/>
      <c r="V72" s="41"/>
      <c r="W72" s="41"/>
      <c r="X72" s="43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</row>
    <row r="73" spans="1:62" ht="17.25" customHeight="1" x14ac:dyDescent="0.25">
      <c r="A73" s="30"/>
      <c r="B73" s="22"/>
      <c r="C73" s="41"/>
      <c r="D73" s="41"/>
      <c r="E73" s="41"/>
      <c r="F73" s="41"/>
      <c r="G73" s="41"/>
      <c r="H73" s="41"/>
      <c r="I73" s="41"/>
      <c r="J73" s="41"/>
      <c r="K73" s="344"/>
      <c r="L73" s="41"/>
      <c r="M73" s="41"/>
      <c r="N73" s="41"/>
      <c r="O73" s="41"/>
      <c r="P73" s="41"/>
      <c r="Q73" s="41"/>
      <c r="R73" s="41"/>
      <c r="S73" s="291"/>
      <c r="T73" s="41"/>
      <c r="U73" s="41"/>
      <c r="V73" s="41"/>
      <c r="W73" s="41"/>
      <c r="X73" s="43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</row>
    <row r="74" spans="1:62" ht="17.25" customHeight="1" x14ac:dyDescent="0.25">
      <c r="A74" s="30"/>
      <c r="B74" s="22"/>
      <c r="C74" s="41"/>
      <c r="D74" s="41"/>
      <c r="E74" s="41"/>
      <c r="F74" s="41"/>
      <c r="G74" s="41"/>
      <c r="H74" s="41"/>
      <c r="I74" s="41"/>
      <c r="J74" s="41"/>
      <c r="K74" s="344"/>
      <c r="L74" s="41"/>
      <c r="M74" s="41"/>
      <c r="N74" s="41"/>
      <c r="O74" s="41"/>
      <c r="P74" s="41"/>
      <c r="Q74" s="41"/>
      <c r="R74" s="41"/>
      <c r="S74" s="291"/>
      <c r="T74" s="41"/>
      <c r="U74" s="41"/>
      <c r="V74" s="41"/>
      <c r="W74" s="41"/>
      <c r="X74" s="43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</row>
    <row r="75" spans="1:62" ht="17.25" customHeight="1" x14ac:dyDescent="0.25">
      <c r="A75" s="30"/>
      <c r="B75" s="22"/>
      <c r="C75" s="41"/>
      <c r="D75" s="41"/>
      <c r="E75" s="41"/>
      <c r="F75" s="41"/>
      <c r="G75" s="41"/>
      <c r="H75" s="41"/>
      <c r="I75" s="41"/>
      <c r="J75" s="41"/>
      <c r="K75" s="344"/>
      <c r="L75" s="41"/>
      <c r="M75" s="41"/>
      <c r="N75" s="41"/>
      <c r="O75" s="41"/>
      <c r="P75" s="41"/>
      <c r="Q75" s="41"/>
      <c r="R75" s="41"/>
      <c r="S75" s="291"/>
      <c r="T75" s="41"/>
      <c r="U75" s="41"/>
      <c r="V75" s="41"/>
      <c r="W75" s="41"/>
      <c r="X75" s="43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</row>
    <row r="76" spans="1:62" ht="17.25" customHeight="1" x14ac:dyDescent="0.25">
      <c r="A76" s="30"/>
      <c r="B76" s="22"/>
      <c r="C76" s="41"/>
      <c r="D76" s="41"/>
      <c r="E76" s="41"/>
      <c r="F76" s="41"/>
      <c r="G76" s="41"/>
      <c r="H76" s="41"/>
      <c r="I76" s="41"/>
      <c r="J76" s="41"/>
      <c r="K76" s="344"/>
      <c r="L76" s="41"/>
      <c r="M76" s="41"/>
      <c r="N76" s="41"/>
      <c r="O76" s="41"/>
      <c r="P76" s="41"/>
      <c r="Q76" s="41"/>
      <c r="R76" s="41"/>
      <c r="S76" s="291"/>
      <c r="T76" s="41"/>
      <c r="U76" s="41"/>
      <c r="V76" s="41"/>
      <c r="W76" s="41"/>
      <c r="X76" s="43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</row>
    <row r="77" spans="1:62" ht="17.25" customHeight="1" x14ac:dyDescent="0.25">
      <c r="A77" s="30"/>
      <c r="B77" s="22"/>
      <c r="C77" s="138"/>
      <c r="D77" s="41"/>
      <c r="E77" s="41"/>
      <c r="F77" s="41"/>
      <c r="G77" s="41"/>
      <c r="H77" s="41"/>
      <c r="I77" s="41"/>
      <c r="J77" s="41"/>
      <c r="K77" s="344"/>
      <c r="L77" s="41"/>
      <c r="M77" s="41"/>
      <c r="N77" s="41"/>
      <c r="O77" s="41"/>
      <c r="P77" s="41"/>
      <c r="Q77" s="41"/>
      <c r="R77" s="41"/>
      <c r="S77" s="291"/>
      <c r="T77" s="41"/>
      <c r="U77" s="41"/>
      <c r="V77" s="41"/>
      <c r="W77" s="41"/>
      <c r="X77" s="43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</row>
    <row r="78" spans="1:62" ht="17.25" customHeight="1" x14ac:dyDescent="0.25">
      <c r="A78" s="30"/>
      <c r="B78" s="22"/>
      <c r="C78" s="41"/>
      <c r="D78" s="41"/>
      <c r="E78" s="41"/>
      <c r="F78" s="41"/>
      <c r="G78" s="41"/>
      <c r="H78" s="41"/>
      <c r="I78" s="41"/>
      <c r="J78" s="41"/>
      <c r="K78" s="344"/>
      <c r="L78" s="41"/>
      <c r="M78" s="41"/>
      <c r="N78" s="41"/>
      <c r="O78" s="41"/>
      <c r="P78" s="41"/>
      <c r="Q78" s="41"/>
      <c r="R78" s="41"/>
      <c r="S78" s="291"/>
      <c r="T78" s="41"/>
      <c r="U78" s="41"/>
      <c r="V78" s="41"/>
      <c r="W78" s="41"/>
      <c r="X78" s="43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</row>
    <row r="79" spans="1:62" ht="17.25" customHeight="1" x14ac:dyDescent="0.25">
      <c r="A79" s="30"/>
      <c r="B79" s="104"/>
      <c r="C79" s="43"/>
      <c r="D79" s="43"/>
      <c r="E79" s="43"/>
      <c r="F79" s="43"/>
      <c r="G79" s="43"/>
      <c r="H79" s="43"/>
      <c r="I79" s="43"/>
      <c r="J79" s="43"/>
      <c r="K79" s="367"/>
      <c r="L79" s="43"/>
      <c r="M79" s="43"/>
      <c r="N79" s="43"/>
      <c r="O79" s="43"/>
      <c r="P79" s="43"/>
      <c r="Q79" s="43"/>
      <c r="R79" s="43"/>
      <c r="S79" s="311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1:62" ht="17.25" customHeight="1" x14ac:dyDescent="0.25">
      <c r="A80" s="30"/>
      <c r="B80" s="104"/>
      <c r="C80" s="43"/>
      <c r="D80" s="43"/>
      <c r="E80" s="43"/>
      <c r="F80" s="43"/>
      <c r="G80" s="43"/>
      <c r="H80" s="43"/>
      <c r="I80" s="43"/>
      <c r="J80" s="43"/>
      <c r="K80" s="367"/>
      <c r="L80" s="43"/>
      <c r="M80" s="43"/>
      <c r="N80" s="43"/>
      <c r="O80" s="43"/>
      <c r="P80" s="43"/>
      <c r="Q80" s="43"/>
      <c r="R80" s="43"/>
      <c r="S80" s="311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</sheetData>
  <mergeCells count="1">
    <mergeCell ref="A5:B5"/>
  </mergeCells>
  <pageMargins left="0.25" right="0.25" top="0.75" bottom="0.75" header="0.3" footer="0.3"/>
  <pageSetup paperSize="9" scale="4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21"/>
  <sheetViews>
    <sheetView topLeftCell="A7" workbookViewId="0">
      <selection activeCell="G17" sqref="G17"/>
    </sheetView>
  </sheetViews>
  <sheetFormatPr defaultColWidth="17.28515625" defaultRowHeight="15" customHeight="1" x14ac:dyDescent="0.25"/>
  <cols>
    <col min="1" max="1" width="13.28515625" style="10" customWidth="1"/>
    <col min="2" max="2" width="14.42578125" style="10" customWidth="1"/>
    <col min="3" max="3" width="13.28515625" style="10" customWidth="1"/>
    <col min="4" max="4" width="11.140625" style="10" customWidth="1"/>
    <col min="5" max="5" width="10.85546875" style="10" customWidth="1"/>
    <col min="6" max="6" width="11.42578125" style="10" customWidth="1"/>
    <col min="7" max="7" width="20" style="10" customWidth="1"/>
    <col min="8" max="8" width="14.42578125" style="10" hidden="1" customWidth="1"/>
    <col min="9" max="9" width="15.140625" style="10" customWidth="1"/>
    <col min="10" max="10" width="10" style="10" hidden="1" customWidth="1"/>
    <col min="11" max="11" width="12.7109375" style="10" customWidth="1"/>
    <col min="12" max="12" width="12.42578125" style="10" bestFit="1" customWidth="1"/>
    <col min="13" max="13" width="8.85546875" style="10" customWidth="1"/>
    <col min="14" max="14" width="14" style="10" customWidth="1"/>
    <col min="15" max="15" width="14.140625" style="10" customWidth="1"/>
    <col min="16" max="16384" width="17.28515625" style="10"/>
  </cols>
  <sheetData>
    <row r="1" spans="1:15" ht="15" customHeight="1" x14ac:dyDescent="0.25">
      <c r="A1" s="6">
        <f ca="1">TODAY()</f>
        <v>42914</v>
      </c>
      <c r="B1" s="317" t="s">
        <v>71</v>
      </c>
      <c r="C1" s="317"/>
      <c r="D1" s="317"/>
      <c r="E1" s="317"/>
      <c r="F1" s="317"/>
      <c r="G1" s="317"/>
      <c r="H1" s="317"/>
      <c r="I1" s="317"/>
      <c r="J1" s="196"/>
      <c r="K1" s="196"/>
      <c r="L1" s="196"/>
      <c r="M1" s="196"/>
    </row>
    <row r="2" spans="1:15" ht="33" customHeight="1" x14ac:dyDescent="0.25">
      <c r="B2" s="318"/>
      <c r="C2" s="318"/>
      <c r="D2" s="318"/>
      <c r="E2" s="318"/>
      <c r="F2" s="318"/>
      <c r="G2" s="318"/>
      <c r="H2" s="318"/>
      <c r="I2" s="318"/>
      <c r="J2" s="19"/>
      <c r="K2" s="19"/>
      <c r="L2" s="19"/>
      <c r="M2" s="19"/>
      <c r="N2" s="8"/>
      <c r="O2" s="8"/>
    </row>
    <row r="3" spans="1:15" ht="30" customHeight="1" x14ac:dyDescent="0.25">
      <c r="A3" s="6"/>
      <c r="B3" s="319"/>
      <c r="C3" s="319"/>
      <c r="D3" s="319"/>
      <c r="E3" s="319"/>
      <c r="F3" s="319"/>
      <c r="G3" s="319"/>
      <c r="H3" s="319"/>
      <c r="I3" s="319"/>
      <c r="J3" s="20"/>
      <c r="K3" s="20"/>
      <c r="L3" s="20"/>
      <c r="M3" s="20"/>
      <c r="N3" s="8"/>
      <c r="O3" s="8"/>
    </row>
    <row r="4" spans="1:15" ht="15.75" x14ac:dyDescent="0.25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A5" s="197"/>
      <c r="B5" s="320" t="s">
        <v>0</v>
      </c>
      <c r="C5" s="320"/>
      <c r="D5" s="320"/>
      <c r="E5" s="320"/>
      <c r="F5" s="320"/>
      <c r="G5" s="320"/>
      <c r="H5" s="320"/>
      <c r="I5" s="320"/>
      <c r="J5" s="198"/>
      <c r="K5" s="198"/>
      <c r="L5" s="198"/>
      <c r="M5" s="198"/>
      <c r="N5" s="8"/>
      <c r="O5" s="8"/>
    </row>
    <row r="6" spans="1:15" ht="15.75" x14ac:dyDescent="0.25">
      <c r="A6" s="8"/>
      <c r="B6" s="200" t="s">
        <v>113</v>
      </c>
      <c r="C6" s="8"/>
      <c r="D6" s="8"/>
      <c r="E6" s="8"/>
      <c r="F6" s="8"/>
      <c r="G6" s="8"/>
      <c r="H6" s="8"/>
      <c r="I6" s="8"/>
      <c r="J6" s="8"/>
      <c r="K6" s="10" t="s">
        <v>112</v>
      </c>
      <c r="N6" s="8"/>
      <c r="O6" s="8"/>
    </row>
    <row r="7" spans="1:15" ht="15.75" x14ac:dyDescent="0.25">
      <c r="A7" s="8"/>
      <c r="B7" s="200" t="s">
        <v>114</v>
      </c>
      <c r="C7" s="8"/>
      <c r="D7" s="8"/>
      <c r="E7" s="8"/>
      <c r="F7" s="8"/>
      <c r="G7" s="8"/>
      <c r="H7" s="8"/>
      <c r="I7" s="8"/>
      <c r="J7" s="8"/>
      <c r="K7" s="8"/>
      <c r="N7" s="8"/>
      <c r="O7" s="8"/>
    </row>
    <row r="8" spans="1:15" ht="15.75" x14ac:dyDescent="0.25">
      <c r="A8" s="8"/>
      <c r="B8" s="200"/>
      <c r="C8" s="8"/>
      <c r="D8" s="8"/>
      <c r="E8" s="8"/>
      <c r="F8" s="8"/>
      <c r="G8" s="8"/>
      <c r="H8" s="8"/>
      <c r="I8" s="8"/>
      <c r="J8" s="8"/>
      <c r="K8" s="8"/>
      <c r="N8" s="8"/>
      <c r="O8" s="8"/>
    </row>
    <row r="9" spans="1:15" ht="15.75" x14ac:dyDescent="0.25">
      <c r="A9" s="8"/>
      <c r="B9" s="323" t="s">
        <v>72</v>
      </c>
      <c r="C9" s="323"/>
      <c r="D9" s="323"/>
      <c r="E9" s="8">
        <v>102</v>
      </c>
      <c r="F9" s="12">
        <f>E9/12</f>
        <v>8.5</v>
      </c>
      <c r="G9" s="8"/>
      <c r="H9" s="8"/>
      <c r="I9" s="8"/>
      <c r="J9" s="8"/>
      <c r="K9" s="8"/>
      <c r="L9" s="8"/>
      <c r="M9" s="12"/>
      <c r="N9" s="8"/>
      <c r="O9" s="8"/>
    </row>
    <row r="10" spans="1:15" ht="15.75" x14ac:dyDescent="0.25">
      <c r="A10" s="8"/>
      <c r="B10" s="324" t="s">
        <v>73</v>
      </c>
      <c r="C10" s="324"/>
      <c r="D10" s="324"/>
      <c r="E10" s="8">
        <v>264</v>
      </c>
      <c r="F10" s="12">
        <f>E10/12</f>
        <v>22</v>
      </c>
      <c r="G10" s="8"/>
      <c r="H10" s="8"/>
      <c r="I10" s="8"/>
      <c r="J10" s="8"/>
      <c r="K10" s="8"/>
      <c r="L10" s="8"/>
      <c r="M10" s="12"/>
      <c r="N10" s="8"/>
      <c r="O10" s="8"/>
    </row>
    <row r="11" spans="1:15" ht="68.25" customHeight="1" x14ac:dyDescent="0.25">
      <c r="A11" s="8"/>
      <c r="B11" s="201" t="s">
        <v>120</v>
      </c>
      <c r="C11" s="201" t="s">
        <v>74</v>
      </c>
      <c r="D11" s="201" t="s">
        <v>76</v>
      </c>
      <c r="E11" s="201" t="s">
        <v>75</v>
      </c>
      <c r="F11" s="201" t="s">
        <v>76</v>
      </c>
      <c r="G11" s="201" t="s">
        <v>77</v>
      </c>
      <c r="H11" s="201" t="s">
        <v>8</v>
      </c>
      <c r="I11" s="201" t="s">
        <v>143</v>
      </c>
      <c r="J11" s="201" t="s">
        <v>83</v>
      </c>
      <c r="K11" s="201" t="s">
        <v>84</v>
      </c>
      <c r="L11" s="8"/>
      <c r="M11" s="8"/>
      <c r="N11" s="8"/>
      <c r="O11" s="8"/>
    </row>
    <row r="12" spans="1:15" ht="15.75" x14ac:dyDescent="0.25">
      <c r="A12" s="8"/>
      <c r="B12" s="249">
        <v>3000</v>
      </c>
      <c r="C12" s="250">
        <v>5</v>
      </c>
      <c r="D12" s="204">
        <f>C12*F9</f>
        <v>42.5</v>
      </c>
      <c r="E12" s="205">
        <v>0</v>
      </c>
      <c r="F12" s="206">
        <f>E12*F10</f>
        <v>0</v>
      </c>
      <c r="G12" s="206">
        <f>D12+F12</f>
        <v>42.5</v>
      </c>
      <c r="H12" s="207"/>
      <c r="I12" s="202">
        <f>B12*G12</f>
        <v>127500</v>
      </c>
      <c r="J12" s="202">
        <v>1</v>
      </c>
      <c r="K12" s="202">
        <f>I12*J12</f>
        <v>127500</v>
      </c>
      <c r="L12" s="325" t="s">
        <v>142</v>
      </c>
      <c r="M12" s="8"/>
      <c r="N12" s="8"/>
      <c r="O12" s="8"/>
    </row>
    <row r="13" spans="1:15" ht="15.75" customHeight="1" x14ac:dyDescent="0.25">
      <c r="A13" s="8"/>
      <c r="B13" s="249">
        <v>3000</v>
      </c>
      <c r="C13" s="203"/>
      <c r="D13" s="208"/>
      <c r="E13" s="251">
        <v>2</v>
      </c>
      <c r="F13" s="206">
        <f>E13*F10</f>
        <v>44</v>
      </c>
      <c r="G13" s="206">
        <f t="shared" ref="G13" si="0">D13+F13</f>
        <v>44</v>
      </c>
      <c r="H13" s="207"/>
      <c r="I13" s="202">
        <f>B13*G13</f>
        <v>132000</v>
      </c>
      <c r="J13" s="202">
        <v>1</v>
      </c>
      <c r="K13" s="202">
        <f t="shared" ref="K13" si="1">I13*J13</f>
        <v>132000</v>
      </c>
      <c r="L13" s="325"/>
      <c r="M13" s="8"/>
      <c r="N13" s="8"/>
      <c r="O13" s="8"/>
    </row>
    <row r="14" spans="1:15" ht="15.75" customHeight="1" x14ac:dyDescent="0.25">
      <c r="A14" s="8"/>
      <c r="B14" s="199"/>
      <c r="C14" s="8"/>
      <c r="D14" s="8"/>
      <c r="E14" s="8"/>
      <c r="F14" s="322" t="s">
        <v>153</v>
      </c>
      <c r="G14" s="322"/>
      <c r="H14" s="322"/>
      <c r="I14" s="202">
        <f>SUM(I12:I13)</f>
        <v>259500</v>
      </c>
      <c r="J14" s="202">
        <f>SUM(J12:J13)</f>
        <v>2</v>
      </c>
      <c r="K14" s="202">
        <f>SUM(K12:K13)</f>
        <v>259500</v>
      </c>
      <c r="M14" s="8"/>
      <c r="N14" s="8"/>
      <c r="O14" s="8"/>
    </row>
    <row r="15" spans="1:15" ht="15.7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5.75" x14ac:dyDescent="0.25">
      <c r="A16" s="8"/>
      <c r="B16" s="321"/>
      <c r="C16" s="321"/>
      <c r="D16" s="321"/>
      <c r="E16" s="321"/>
      <c r="F16" s="321"/>
      <c r="G16" s="321"/>
      <c r="H16" s="321"/>
      <c r="I16" s="321"/>
      <c r="J16" s="8"/>
      <c r="K16" s="8"/>
      <c r="L16" s="8"/>
      <c r="M16" s="8"/>
      <c r="N16" s="8"/>
      <c r="O16" s="8"/>
    </row>
    <row r="17" spans="1:15" ht="15.75" x14ac:dyDescent="0.25">
      <c r="A17" s="8"/>
      <c r="C17" s="8"/>
      <c r="E17" s="209"/>
      <c r="F17" s="8"/>
      <c r="G17" s="8"/>
      <c r="H17" s="8"/>
      <c r="I17" s="210"/>
      <c r="J17" s="8"/>
      <c r="K17" s="8"/>
      <c r="L17" s="8"/>
      <c r="M17" s="8"/>
      <c r="N17" s="8"/>
      <c r="O17" s="8"/>
    </row>
    <row r="18" spans="1:15" ht="15.75" x14ac:dyDescent="0.25">
      <c r="A18" s="8"/>
      <c r="C18" s="8"/>
      <c r="E18" s="209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5.75" x14ac:dyDescent="0.25">
      <c r="A19" s="8"/>
      <c r="C19" s="8"/>
      <c r="E19" s="209"/>
      <c r="F19" s="211"/>
      <c r="G19" s="8"/>
      <c r="H19" s="8"/>
      <c r="I19" s="8"/>
      <c r="J19" s="8"/>
      <c r="K19" s="8"/>
      <c r="L19" s="8"/>
      <c r="M19" s="8"/>
      <c r="N19" s="8"/>
      <c r="O19" s="8"/>
    </row>
    <row r="20" spans="1:15" ht="15.75" x14ac:dyDescent="0.25">
      <c r="A20" s="8"/>
      <c r="C20" s="8"/>
      <c r="D20" s="8"/>
      <c r="E20" s="209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5.7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</sheetData>
  <mergeCells count="9">
    <mergeCell ref="L12:L13"/>
    <mergeCell ref="B1:I1"/>
    <mergeCell ref="B2:I2"/>
    <mergeCell ref="B3:I3"/>
    <mergeCell ref="B5:I5"/>
    <mergeCell ref="B16:I16"/>
    <mergeCell ref="F14:H14"/>
    <mergeCell ref="B9:D9"/>
    <mergeCell ref="B10:D10"/>
  </mergeCells>
  <pageMargins left="0.25" right="0.25" top="0.75" bottom="0.75" header="0.3" footer="0.3"/>
  <pageSetup paperSize="9" scale="83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E31"/>
  <sheetViews>
    <sheetView topLeftCell="A10" zoomScale="70" zoomScaleNormal="70" workbookViewId="0">
      <selection activeCell="C5" sqref="C5"/>
    </sheetView>
  </sheetViews>
  <sheetFormatPr defaultColWidth="12.42578125" defaultRowHeight="15.75" x14ac:dyDescent="0.25"/>
  <cols>
    <col min="1" max="1" width="48.85546875" style="3" customWidth="1"/>
    <col min="2" max="2" width="15" style="3" bestFit="1" customWidth="1"/>
    <col min="3" max="3" width="17.28515625" style="239" customWidth="1"/>
    <col min="4" max="16384" width="12.42578125" style="3"/>
  </cols>
  <sheetData>
    <row r="1" spans="1:3" ht="16.5" thickBot="1" x14ac:dyDescent="0.3">
      <c r="A1" s="328"/>
      <c r="B1" s="329"/>
      <c r="C1" s="329"/>
    </row>
    <row r="2" spans="1:3" ht="16.5" thickBot="1" x14ac:dyDescent="0.3">
      <c r="A2" s="330" t="s">
        <v>50</v>
      </c>
      <c r="B2" s="331"/>
      <c r="C2" s="332"/>
    </row>
    <row r="3" spans="1:3" x14ac:dyDescent="0.25">
      <c r="A3" s="212"/>
      <c r="B3" s="213" t="s">
        <v>51</v>
      </c>
      <c r="C3" s="214" t="s">
        <v>52</v>
      </c>
    </row>
    <row r="4" spans="1:3" x14ac:dyDescent="0.25">
      <c r="A4" s="215" t="s">
        <v>53</v>
      </c>
      <c r="B4" s="216"/>
      <c r="C4" s="252">
        <v>4500</v>
      </c>
    </row>
    <row r="5" spans="1:3" x14ac:dyDescent="0.25">
      <c r="A5" s="215" t="s">
        <v>54</v>
      </c>
      <c r="B5" s="218"/>
      <c r="C5" s="217">
        <f t="shared" ref="C5:C8" si="0">B5*1.18</f>
        <v>0</v>
      </c>
    </row>
    <row r="6" spans="1:3" x14ac:dyDescent="0.25">
      <c r="A6" s="215" t="s">
        <v>55</v>
      </c>
      <c r="B6" s="218"/>
      <c r="C6" s="217">
        <f t="shared" si="0"/>
        <v>0</v>
      </c>
    </row>
    <row r="7" spans="1:3" x14ac:dyDescent="0.25">
      <c r="A7" s="215" t="s">
        <v>56</v>
      </c>
      <c r="B7" s="218"/>
      <c r="C7" s="217">
        <f t="shared" si="0"/>
        <v>0</v>
      </c>
    </row>
    <row r="8" spans="1:3" ht="16.5" thickBot="1" x14ac:dyDescent="0.3">
      <c r="A8" s="219" t="s">
        <v>57</v>
      </c>
      <c r="B8" s="220"/>
      <c r="C8" s="217">
        <f t="shared" si="0"/>
        <v>0</v>
      </c>
    </row>
    <row r="9" spans="1:3" x14ac:dyDescent="0.25">
      <c r="A9" s="221"/>
      <c r="B9" s="222"/>
      <c r="C9" s="223"/>
    </row>
    <row r="10" spans="1:3" ht="16.5" thickBot="1" x14ac:dyDescent="0.3">
      <c r="A10" s="221"/>
      <c r="B10" s="222"/>
      <c r="C10" s="223"/>
    </row>
    <row r="11" spans="1:3" x14ac:dyDescent="0.25">
      <c r="A11" s="326" t="s">
        <v>58</v>
      </c>
      <c r="B11" s="327"/>
      <c r="C11" s="327"/>
    </row>
    <row r="12" spans="1:3" x14ac:dyDescent="0.25">
      <c r="A12" s="221"/>
      <c r="B12" s="224"/>
      <c r="C12" s="217"/>
    </row>
    <row r="13" spans="1:3" x14ac:dyDescent="0.25">
      <c r="A13" s="225" t="s">
        <v>119</v>
      </c>
      <c r="B13" s="226"/>
      <c r="C13" s="253">
        <v>100</v>
      </c>
    </row>
    <row r="14" spans="1:3" x14ac:dyDescent="0.25">
      <c r="A14" s="215" t="s">
        <v>116</v>
      </c>
      <c r="B14" s="227"/>
      <c r="C14" s="217">
        <v>0</v>
      </c>
    </row>
    <row r="15" spans="1:3" x14ac:dyDescent="0.25">
      <c r="A15" s="215" t="s">
        <v>60</v>
      </c>
      <c r="B15" s="227"/>
      <c r="C15" s="217">
        <f>$C$5*C13/12</f>
        <v>0</v>
      </c>
    </row>
    <row r="16" spans="1:3" x14ac:dyDescent="0.25">
      <c r="A16" s="215" t="s">
        <v>61</v>
      </c>
      <c r="B16" s="227"/>
      <c r="C16" s="217">
        <f t="shared" ref="C16" si="1">$C$6*C13/12</f>
        <v>0</v>
      </c>
    </row>
    <row r="17" spans="1:5" x14ac:dyDescent="0.25">
      <c r="A17" s="215" t="s">
        <v>62</v>
      </c>
      <c r="B17" s="227"/>
      <c r="C17" s="217">
        <f t="shared" ref="C17" si="2">$C$7*C13/12</f>
        <v>0</v>
      </c>
    </row>
    <row r="18" spans="1:5" ht="31.5" x14ac:dyDescent="0.25">
      <c r="A18" s="228" t="s">
        <v>63</v>
      </c>
      <c r="B18" s="227"/>
      <c r="C18" s="217">
        <v>0</v>
      </c>
    </row>
    <row r="19" spans="1:5" x14ac:dyDescent="0.25">
      <c r="A19" s="215" t="s">
        <v>64</v>
      </c>
      <c r="B19" s="227"/>
      <c r="C19" s="217">
        <f t="shared" ref="C19" si="3">$C$8*C13</f>
        <v>0</v>
      </c>
    </row>
    <row r="20" spans="1:5" x14ac:dyDescent="0.25">
      <c r="A20" s="229" t="s">
        <v>65</v>
      </c>
      <c r="B20" s="230"/>
      <c r="C20" s="231">
        <f t="shared" ref="C20" si="4">SUM(C14:C19)</f>
        <v>0</v>
      </c>
    </row>
    <row r="21" spans="1:5" ht="16.5" thickBot="1" x14ac:dyDescent="0.3">
      <c r="A21" s="232" t="s">
        <v>66</v>
      </c>
      <c r="B21" s="233"/>
      <c r="C21" s="234">
        <f>C20</f>
        <v>0</v>
      </c>
    </row>
    <row r="22" spans="1:5" x14ac:dyDescent="0.25">
      <c r="A22" s="1"/>
      <c r="B22" s="2"/>
      <c r="C22" s="195"/>
    </row>
    <row r="23" spans="1:5" ht="16.5" thickBot="1" x14ac:dyDescent="0.3">
      <c r="A23" s="221"/>
      <c r="B23" s="235"/>
      <c r="C23" s="236"/>
    </row>
    <row r="24" spans="1:5" x14ac:dyDescent="0.25">
      <c r="A24" s="326" t="s">
        <v>67</v>
      </c>
      <c r="B24" s="327"/>
      <c r="C24" s="327"/>
    </row>
    <row r="25" spans="1:5" x14ac:dyDescent="0.25">
      <c r="A25" s="221"/>
      <c r="B25" s="224"/>
      <c r="C25" s="217"/>
    </row>
    <row r="26" spans="1:5" x14ac:dyDescent="0.25">
      <c r="A26" s="237" t="s">
        <v>59</v>
      </c>
      <c r="B26" s="226"/>
      <c r="C26" s="217">
        <f>C13</f>
        <v>100</v>
      </c>
    </row>
    <row r="27" spans="1:5" x14ac:dyDescent="0.25">
      <c r="A27" s="215" t="s">
        <v>68</v>
      </c>
      <c r="B27" s="227"/>
      <c r="C27" s="217">
        <f>C26*C4/12</f>
        <v>37500</v>
      </c>
    </row>
    <row r="28" spans="1:5" x14ac:dyDescent="0.25">
      <c r="A28" s="215" t="s">
        <v>60</v>
      </c>
      <c r="B28" s="227"/>
      <c r="C28" s="217">
        <f>$C$5*C26/12</f>
        <v>0</v>
      </c>
    </row>
    <row r="29" spans="1:5" x14ac:dyDescent="0.25">
      <c r="A29" s="215" t="s">
        <v>61</v>
      </c>
      <c r="B29" s="227"/>
      <c r="C29" s="217">
        <f>$C$6*C26/12</f>
        <v>0</v>
      </c>
    </row>
    <row r="30" spans="1:5" x14ac:dyDescent="0.25">
      <c r="A30" s="229" t="s">
        <v>65</v>
      </c>
      <c r="B30" s="230"/>
      <c r="C30" s="231">
        <f>SUM(C27:C29)</f>
        <v>37500</v>
      </c>
      <c r="E30" s="238"/>
    </row>
    <row r="31" spans="1:5" ht="16.5" thickBot="1" x14ac:dyDescent="0.3">
      <c r="A31" s="232" t="s">
        <v>66</v>
      </c>
      <c r="B31" s="233"/>
      <c r="C31" s="234">
        <f>C30</f>
        <v>37500</v>
      </c>
    </row>
  </sheetData>
  <mergeCells count="4">
    <mergeCell ref="A24:C24"/>
    <mergeCell ref="A1:C1"/>
    <mergeCell ref="A2:C2"/>
    <mergeCell ref="A11:C11"/>
  </mergeCells>
  <pageMargins left="0.25" right="0.25" top="0.75" bottom="0.75" header="0.3" footer="0.3"/>
  <pageSetup paperSize="9" scale="90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22"/>
  <sheetViews>
    <sheetView workbookViewId="0">
      <selection activeCell="E18" sqref="E18"/>
    </sheetView>
  </sheetViews>
  <sheetFormatPr defaultColWidth="17.28515625" defaultRowHeight="15" customHeight="1" x14ac:dyDescent="0.25"/>
  <cols>
    <col min="1" max="1" width="8.85546875" style="10" customWidth="1"/>
    <col min="2" max="2" width="22" style="10" customWidth="1"/>
    <col min="3" max="3" width="15.7109375" style="10" hidden="1" customWidth="1"/>
    <col min="4" max="4" width="29" style="10" bestFit="1" customWidth="1"/>
    <col min="5" max="5" width="8.42578125" style="10" customWidth="1"/>
    <col min="6" max="6" width="17.42578125" style="10" customWidth="1"/>
    <col min="7" max="7" width="17.85546875" style="10" customWidth="1"/>
    <col min="8" max="8" width="18.42578125" style="10" customWidth="1"/>
    <col min="9" max="16384" width="17.28515625" style="10"/>
  </cols>
  <sheetData>
    <row r="1" spans="1:8" ht="25.7" customHeight="1" x14ac:dyDescent="0.25">
      <c r="A1" s="8"/>
      <c r="B1" s="240">
        <f ca="1">TODAY()</f>
        <v>42914</v>
      </c>
      <c r="C1" s="333" t="s">
        <v>1</v>
      </c>
      <c r="D1" s="333"/>
      <c r="E1" s="333"/>
      <c r="F1" s="333"/>
      <c r="G1" s="333"/>
      <c r="H1" s="8"/>
    </row>
    <row r="2" spans="1:8" ht="12.75" customHeight="1" x14ac:dyDescent="0.25">
      <c r="A2" s="241"/>
      <c r="B2" s="242" t="s">
        <v>2</v>
      </c>
      <c r="C2" s="242"/>
      <c r="D2" s="242" t="s">
        <v>3</v>
      </c>
      <c r="E2" s="242" t="s">
        <v>4</v>
      </c>
      <c r="F2" s="242" t="s">
        <v>5</v>
      </c>
      <c r="G2" s="242" t="s">
        <v>6</v>
      </c>
      <c r="H2" s="242" t="s">
        <v>7</v>
      </c>
    </row>
    <row r="3" spans="1:8" ht="12.75" customHeight="1" x14ac:dyDescent="0.25">
      <c r="A3" s="241">
        <v>1</v>
      </c>
      <c r="B3" s="243" t="s">
        <v>48</v>
      </c>
      <c r="C3" s="241"/>
      <c r="D3" s="243" t="s">
        <v>131</v>
      </c>
      <c r="E3" s="241">
        <v>0</v>
      </c>
      <c r="F3" s="244" t="s">
        <v>140</v>
      </c>
      <c r="G3" s="202"/>
      <c r="H3" s="241"/>
    </row>
    <row r="4" spans="1:8" ht="12.75" customHeight="1" x14ac:dyDescent="0.25">
      <c r="A4" s="241">
        <v>3</v>
      </c>
      <c r="B4" s="243" t="s">
        <v>48</v>
      </c>
      <c r="C4" s="241"/>
      <c r="D4" s="243" t="s">
        <v>132</v>
      </c>
      <c r="E4" s="241">
        <v>0</v>
      </c>
      <c r="F4" s="244" t="s">
        <v>140</v>
      </c>
      <c r="G4" s="202"/>
      <c r="H4" s="241"/>
    </row>
    <row r="5" spans="1:8" ht="12.75" customHeight="1" x14ac:dyDescent="0.25">
      <c r="A5" s="241">
        <v>4</v>
      </c>
      <c r="B5" s="243" t="s">
        <v>48</v>
      </c>
      <c r="C5" s="241"/>
      <c r="D5" s="243" t="s">
        <v>133</v>
      </c>
      <c r="E5" s="241">
        <v>1</v>
      </c>
      <c r="F5" s="244" t="s">
        <v>150</v>
      </c>
      <c r="G5" s="202">
        <v>15000</v>
      </c>
      <c r="H5" s="241"/>
    </row>
    <row r="6" spans="1:8" ht="12.75" customHeight="1" x14ac:dyDescent="0.25">
      <c r="A6" s="241">
        <v>5</v>
      </c>
      <c r="B6" s="243"/>
      <c r="C6" s="241"/>
      <c r="D6" s="243" t="s">
        <v>134</v>
      </c>
      <c r="E6" s="241">
        <v>0</v>
      </c>
      <c r="F6" s="244" t="s">
        <v>150</v>
      </c>
      <c r="G6" s="202"/>
      <c r="H6" s="241"/>
    </row>
    <row r="7" spans="1:8" ht="12.75" customHeight="1" x14ac:dyDescent="0.25">
      <c r="A7" s="241">
        <v>6</v>
      </c>
      <c r="B7" s="243"/>
      <c r="C7" s="241"/>
      <c r="D7" s="243" t="s">
        <v>135</v>
      </c>
      <c r="E7" s="241">
        <v>2</v>
      </c>
      <c r="F7" s="244" t="s">
        <v>150</v>
      </c>
      <c r="G7" s="202">
        <v>15000</v>
      </c>
      <c r="H7" s="241"/>
    </row>
    <row r="8" spans="1:8" ht="12.75" customHeight="1" x14ac:dyDescent="0.25">
      <c r="A8" s="241">
        <v>7</v>
      </c>
      <c r="B8" s="243"/>
      <c r="C8" s="241"/>
      <c r="D8" s="243" t="s">
        <v>136</v>
      </c>
      <c r="E8" s="241">
        <v>0</v>
      </c>
      <c r="F8" s="244" t="s">
        <v>140</v>
      </c>
      <c r="G8" s="202"/>
      <c r="H8" s="241"/>
    </row>
    <row r="9" spans="1:8" ht="12.75" customHeight="1" x14ac:dyDescent="0.25">
      <c r="A9" s="241">
        <v>8</v>
      </c>
      <c r="B9" s="243"/>
      <c r="C9" s="241"/>
      <c r="D9" s="243" t="s">
        <v>137</v>
      </c>
      <c r="E9" s="241">
        <v>0</v>
      </c>
      <c r="F9" s="244" t="s">
        <v>140</v>
      </c>
      <c r="G9" s="202"/>
      <c r="H9" s="241"/>
    </row>
    <row r="10" spans="1:8" ht="12.75" customHeight="1" x14ac:dyDescent="0.25">
      <c r="A10" s="241">
        <v>9</v>
      </c>
      <c r="B10" s="243"/>
      <c r="C10" s="241"/>
      <c r="D10" s="243" t="s">
        <v>138</v>
      </c>
      <c r="E10" s="241">
        <v>0</v>
      </c>
      <c r="F10" s="244" t="s">
        <v>150</v>
      </c>
      <c r="G10" s="202"/>
      <c r="H10" s="241"/>
    </row>
    <row r="11" spans="1:8" ht="12.75" customHeight="1" x14ac:dyDescent="0.25">
      <c r="A11" s="241">
        <v>10</v>
      </c>
      <c r="B11" s="243"/>
      <c r="C11" s="241"/>
      <c r="D11" s="243" t="s">
        <v>139</v>
      </c>
      <c r="E11" s="241">
        <v>0</v>
      </c>
      <c r="F11" s="244" t="s">
        <v>150</v>
      </c>
      <c r="G11" s="202"/>
      <c r="H11" s="241"/>
    </row>
    <row r="12" spans="1:8" ht="12.75" customHeight="1" x14ac:dyDescent="0.25">
      <c r="A12" s="207"/>
      <c r="B12" s="207"/>
      <c r="C12" s="207"/>
      <c r="D12" s="207"/>
      <c r="E12" s="241">
        <f>SUM(E3:E11)</f>
        <v>3</v>
      </c>
      <c r="F12" s="244"/>
      <c r="G12" s="202">
        <f>E3*G3++E4*G4+E5*G5+E6*G6+G7*E7+G8*E8+G9*E9+G10*E10+G11*E11</f>
        <v>45000</v>
      </c>
      <c r="H12" s="207"/>
    </row>
    <row r="13" spans="1:8" ht="12.75" customHeight="1" x14ac:dyDescent="0.25">
      <c r="B13" s="8"/>
      <c r="C13" s="8"/>
      <c r="D13" s="8"/>
      <c r="E13" s="8"/>
      <c r="F13" s="8"/>
      <c r="G13" s="8"/>
      <c r="H13" s="8"/>
    </row>
    <row r="14" spans="1:8" ht="12.75" customHeight="1" x14ac:dyDescent="0.25">
      <c r="B14" s="8"/>
      <c r="C14" s="8"/>
      <c r="D14" s="8"/>
      <c r="E14" s="8"/>
      <c r="F14" s="8"/>
      <c r="G14" s="8"/>
      <c r="H14" s="8"/>
    </row>
    <row r="15" spans="1:8" ht="12.75" customHeight="1" x14ac:dyDescent="0.25">
      <c r="B15" s="8"/>
      <c r="C15" s="8"/>
      <c r="D15" s="8"/>
      <c r="E15" s="8"/>
      <c r="F15" s="8"/>
      <c r="G15" s="8"/>
      <c r="H15" s="8"/>
    </row>
    <row r="16" spans="1:8" ht="12.75" customHeight="1" x14ac:dyDescent="0.25">
      <c r="B16" s="8"/>
      <c r="C16" s="8"/>
      <c r="D16" s="8"/>
      <c r="E16" s="8"/>
      <c r="F16" s="8"/>
      <c r="G16" s="8"/>
      <c r="H16" s="8"/>
    </row>
    <row r="17" spans="2:8" ht="12.75" customHeight="1" x14ac:dyDescent="0.25">
      <c r="B17" s="8"/>
      <c r="C17" s="8"/>
      <c r="D17" s="8"/>
      <c r="E17" s="8"/>
      <c r="F17" s="8"/>
      <c r="G17" s="8"/>
      <c r="H17" s="8"/>
    </row>
    <row r="18" spans="2:8" ht="12.75" customHeight="1" x14ac:dyDescent="0.25">
      <c r="B18" s="8"/>
      <c r="C18" s="8"/>
      <c r="D18" s="8"/>
      <c r="E18" s="8"/>
      <c r="F18" s="8"/>
      <c r="G18" s="8"/>
      <c r="H18" s="8"/>
    </row>
    <row r="19" spans="2:8" ht="12.75" customHeight="1" x14ac:dyDescent="0.25">
      <c r="B19" s="8"/>
      <c r="C19" s="8"/>
      <c r="D19" s="8"/>
      <c r="E19" s="8"/>
      <c r="F19" s="8"/>
      <c r="H19" s="8"/>
    </row>
    <row r="20" spans="2:8" ht="12.75" customHeight="1" x14ac:dyDescent="0.25">
      <c r="B20" s="8"/>
      <c r="C20" s="8"/>
      <c r="D20" s="8"/>
      <c r="E20" s="8"/>
      <c r="F20" s="8"/>
      <c r="G20" s="8"/>
      <c r="H20" s="8"/>
    </row>
    <row r="21" spans="2:8" ht="12.75" customHeight="1" x14ac:dyDescent="0.25">
      <c r="B21" s="8"/>
      <c r="C21" s="8"/>
      <c r="D21" s="8"/>
      <c r="E21" s="8"/>
      <c r="F21" s="8"/>
      <c r="G21" s="8"/>
      <c r="H21" s="8"/>
    </row>
    <row r="22" spans="2:8" ht="12.75" customHeight="1" x14ac:dyDescent="0.25">
      <c r="B22" s="8"/>
      <c r="C22" s="8"/>
      <c r="D22" s="8"/>
      <c r="E22" s="8"/>
      <c r="F22" s="8"/>
      <c r="G22" s="8"/>
      <c r="H22" s="8"/>
    </row>
  </sheetData>
  <mergeCells count="1">
    <mergeCell ref="C1:G1"/>
  </mergeCell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18"/>
  <sheetViews>
    <sheetView zoomScale="130" zoomScaleNormal="130" zoomScalePageLayoutView="130" workbookViewId="0">
      <selection activeCell="F11" sqref="F11"/>
    </sheetView>
  </sheetViews>
  <sheetFormatPr defaultColWidth="17.28515625" defaultRowHeight="15" customHeight="1" x14ac:dyDescent="0.25"/>
  <cols>
    <col min="1" max="1" width="8.85546875" style="9" customWidth="1"/>
    <col min="2" max="2" width="15.28515625" style="9" customWidth="1"/>
    <col min="3" max="3" width="25.140625" style="9" customWidth="1"/>
    <col min="4" max="4" width="17.140625" style="9" customWidth="1"/>
    <col min="5" max="5" width="13" style="9" customWidth="1"/>
    <col min="6" max="6" width="14.140625" style="9" customWidth="1"/>
    <col min="7" max="16384" width="17.28515625" style="9"/>
  </cols>
  <sheetData>
    <row r="1" spans="1:6" ht="15.75" x14ac:dyDescent="0.25">
      <c r="A1" s="5"/>
      <c r="B1" s="5"/>
      <c r="C1" s="5"/>
      <c r="D1" s="5"/>
      <c r="E1" s="5"/>
      <c r="F1" s="5"/>
    </row>
    <row r="2" spans="1:6" ht="15.75" customHeight="1" x14ac:dyDescent="0.25">
      <c r="A2" s="5"/>
      <c r="B2" s="4" t="s">
        <v>11</v>
      </c>
      <c r="C2" s="4"/>
      <c r="D2" s="13">
        <f>СashFlow!C11</f>
        <v>700000</v>
      </c>
      <c r="E2" s="11"/>
      <c r="F2" s="194"/>
    </row>
    <row r="3" spans="1:6" ht="15.75" x14ac:dyDescent="0.25">
      <c r="A3" s="5"/>
      <c r="B3" s="14" t="s">
        <v>12</v>
      </c>
      <c r="C3" s="14"/>
      <c r="D3" s="15">
        <f>SUM(СashFlow!G18:R18)</f>
        <v>2737725</v>
      </c>
      <c r="E3" s="5"/>
      <c r="F3" s="18"/>
    </row>
    <row r="4" spans="1:6" ht="15.75" x14ac:dyDescent="0.25">
      <c r="A4" s="5"/>
      <c r="B4" s="14" t="s">
        <v>14</v>
      </c>
      <c r="C4" s="14"/>
      <c r="D4" s="15">
        <f>SUM(СashFlow!G33:R33)</f>
        <v>1978563</v>
      </c>
      <c r="E4" s="5"/>
      <c r="F4" s="192"/>
    </row>
    <row r="5" spans="1:6" ht="15.75" x14ac:dyDescent="0.25">
      <c r="A5" s="5"/>
      <c r="B5" s="334" t="s">
        <v>124</v>
      </c>
      <c r="C5" s="335"/>
      <c r="D5" s="15">
        <f>SUM(СashFlow!G21:R21)</f>
        <v>136886.25</v>
      </c>
      <c r="E5" s="5"/>
      <c r="F5" s="192"/>
    </row>
    <row r="6" spans="1:6" ht="15.75" x14ac:dyDescent="0.25">
      <c r="A6" s="5"/>
      <c r="B6" s="334" t="s">
        <v>15</v>
      </c>
      <c r="C6" s="335"/>
      <c r="E6" s="5"/>
      <c r="F6" s="18"/>
    </row>
    <row r="7" spans="1:6" ht="15.75" x14ac:dyDescent="0.25">
      <c r="A7" s="5"/>
      <c r="B7" s="14" t="s">
        <v>16</v>
      </c>
      <c r="C7" s="14"/>
      <c r="D7" s="15">
        <f>SUM(СashFlow!G25:R26)</f>
        <v>990000</v>
      </c>
      <c r="E7" s="5"/>
      <c r="F7" s="194"/>
    </row>
    <row r="8" spans="1:6" ht="15.75" x14ac:dyDescent="0.25">
      <c r="A8" s="5"/>
      <c r="D8" s="15">
        <f>D3-D4</f>
        <v>759162</v>
      </c>
      <c r="E8" s="5"/>
      <c r="F8" s="18"/>
    </row>
    <row r="9" spans="1:6" ht="15.75" x14ac:dyDescent="0.25">
      <c r="A9" s="5"/>
      <c r="B9" s="5"/>
      <c r="C9" s="5"/>
      <c r="D9" s="16"/>
      <c r="E9" s="5"/>
      <c r="F9" s="18"/>
    </row>
    <row r="10" spans="1:6" ht="15.75" x14ac:dyDescent="0.25">
      <c r="A10" s="5"/>
      <c r="B10" s="337" t="s">
        <v>70</v>
      </c>
      <c r="C10" s="337"/>
      <c r="D10" s="17"/>
      <c r="E10" s="5"/>
      <c r="F10" s="193"/>
    </row>
    <row r="11" spans="1:6" ht="15.75" x14ac:dyDescent="0.25">
      <c r="A11" s="5"/>
      <c r="B11" s="336" t="s">
        <v>49</v>
      </c>
      <c r="C11" s="336"/>
      <c r="D11" s="17">
        <f>СashFlow!R70</f>
        <v>759162</v>
      </c>
      <c r="E11" s="5"/>
      <c r="F11" s="18"/>
    </row>
    <row r="12" spans="1:6" ht="15.75" x14ac:dyDescent="0.25">
      <c r="A12" s="5"/>
      <c r="B12" s="336" t="s">
        <v>69</v>
      </c>
      <c r="C12" s="336"/>
      <c r="D12" s="17">
        <f>СashFlow!BJ70</f>
        <v>2819322</v>
      </c>
      <c r="E12" s="5"/>
      <c r="F12" s="18"/>
    </row>
    <row r="13" spans="1:6" ht="15.75" x14ac:dyDescent="0.25">
      <c r="A13" s="5"/>
      <c r="B13" s="5"/>
      <c r="C13" s="5"/>
      <c r="D13" s="16"/>
      <c r="E13" s="5"/>
      <c r="F13" s="18"/>
    </row>
    <row r="14" spans="1:6" ht="15.75" x14ac:dyDescent="0.25">
      <c r="A14" s="5"/>
      <c r="B14" s="5"/>
      <c r="C14" s="5"/>
      <c r="D14" s="5"/>
      <c r="E14" s="5"/>
      <c r="F14" s="5"/>
    </row>
    <row r="15" spans="1:6" ht="15.75" x14ac:dyDescent="0.25">
      <c r="A15" s="5"/>
      <c r="B15" s="5"/>
      <c r="C15" s="5"/>
      <c r="D15" s="5"/>
      <c r="E15" s="5"/>
      <c r="F15" s="5"/>
    </row>
    <row r="16" spans="1:6" ht="15.75" x14ac:dyDescent="0.25">
      <c r="A16" s="5"/>
      <c r="B16" s="5"/>
      <c r="C16" s="5"/>
      <c r="D16" s="5"/>
      <c r="E16" s="5"/>
      <c r="F16" s="5"/>
    </row>
    <row r="17" spans="1:6" ht="15.75" x14ac:dyDescent="0.25">
      <c r="A17" s="5"/>
      <c r="B17" s="5"/>
      <c r="C17" s="5"/>
      <c r="D17" s="5"/>
      <c r="E17" s="5"/>
      <c r="F17" s="5"/>
    </row>
    <row r="18" spans="1:6" ht="15.75" x14ac:dyDescent="0.25">
      <c r="A18" s="5"/>
      <c r="B18" s="5"/>
      <c r="C18" s="5"/>
      <c r="D18" s="5"/>
      <c r="E18" s="5"/>
      <c r="F18" s="5"/>
    </row>
  </sheetData>
  <mergeCells count="5">
    <mergeCell ref="B5:C5"/>
    <mergeCell ref="B6:C6"/>
    <mergeCell ref="B11:C11"/>
    <mergeCell ref="B12:C12"/>
    <mergeCell ref="B10:C10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Модель</vt:lpstr>
      <vt:lpstr>СashFlow</vt:lpstr>
      <vt:lpstr>Посетители</vt:lpstr>
      <vt:lpstr>Аренда</vt:lpstr>
      <vt:lpstr>ЗП</vt:lpstr>
      <vt:lpstr>Прибыль</vt:lpstr>
      <vt:lpstr>СashFlow!Z_FFE0F0C0_1FAE_11D5_B079_006097A7FDE2_.wvu.PrintArea</vt:lpstr>
      <vt:lpstr>Аренда!Область_печати</vt:lpstr>
      <vt:lpstr>ЗП!Область_печати</vt:lpstr>
      <vt:lpstr>Модель!Область_печати</vt:lpstr>
      <vt:lpstr>Посетители!Область_печати</vt:lpstr>
      <vt:lpstr>СashFlow!Область_печати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Yury Dvornikov</dc:creator>
  <cp:lastModifiedBy>user</cp:lastModifiedBy>
  <cp:lastPrinted>2015-12-17T16:38:19Z</cp:lastPrinted>
  <dcterms:created xsi:type="dcterms:W3CDTF">2015-02-02T21:59:54Z</dcterms:created>
  <dcterms:modified xsi:type="dcterms:W3CDTF">2017-06-27T21:15:31Z</dcterms:modified>
</cp:coreProperties>
</file>