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7320" windowHeight="12040" firstSheet="2" activeTab="3"/>
  </bookViews>
  <sheets>
    <sheet name="пар" sheetId="1" state="hidden" r:id="rId1"/>
    <sheet name="Расчет " sheetId="2" state="hidden" r:id="rId2"/>
    <sheet name="Парам." sheetId="3" r:id="rId3"/>
    <sheet name="Финансовая модель" sheetId="4" r:id="rId4"/>
    <sheet name="Затраты" sheetId="5" r:id="rId5"/>
    <sheet name="Финансирование" sheetId="6" state="hidden" r:id="rId6"/>
    <sheet name="Понедельное развитие" sheetId="7" state="hidden" r:id="rId7"/>
  </sheets>
  <definedNames/>
  <calcPr fullCalcOnLoad="1"/>
</workbook>
</file>

<file path=xl/comments2.xml><?xml version="1.0" encoding="utf-8"?>
<comments xmlns="http://schemas.openxmlformats.org/spreadsheetml/2006/main">
  <authors>
    <author/>
    <author>Леня</author>
  </authors>
  <commentList>
    <comment ref="I137" authorId="0">
      <text>
        <r>
          <rPr>
            <b/>
            <sz val="8"/>
            <color indexed="8"/>
            <rFont val="Tahoma"/>
            <family val="2"/>
          </rPr>
          <t>Кредит в ТМЦ
+500000</t>
        </r>
      </text>
    </comment>
    <comment ref="U137" authorId="0">
      <text>
        <r>
          <rPr>
            <b/>
            <sz val="8"/>
            <color indexed="8"/>
            <rFont val="Tahoma"/>
            <family val="2"/>
          </rPr>
          <t xml:space="preserve">+500000 в товар
</t>
        </r>
      </text>
    </comment>
    <comment ref="P165" authorId="1">
      <text>
        <r>
          <rPr>
            <sz val="9"/>
            <rFont val="Tahoma"/>
            <family val="2"/>
          </rPr>
          <t xml:space="preserve">драйвер
</t>
        </r>
      </text>
    </comment>
  </commentList>
</comments>
</file>

<file path=xl/comments4.xml><?xml version="1.0" encoding="utf-8"?>
<comments xmlns="http://schemas.openxmlformats.org/spreadsheetml/2006/main">
  <authors>
    <author>NADEZHDA</author>
  </authors>
  <commentList>
    <comment ref="B41" authorId="0">
      <text>
        <r>
          <rPr>
            <b/>
            <sz val="8"/>
            <rFont val="Tahoma"/>
            <family val="2"/>
          </rPr>
          <t xml:space="preserve">ЕНВД + Зарплатные
Начисляем ежемесячно, выплачиваем ежеквартально
</t>
        </r>
      </text>
    </comment>
    <comment ref="B29" authorId="0">
      <text>
        <r>
          <rPr>
            <b/>
            <sz val="8"/>
            <rFont val="Tahoma"/>
            <family val="2"/>
          </rPr>
          <t xml:space="preserve">Фонд подарков, интернет-реклама
</t>
        </r>
      </text>
    </comment>
  </commentList>
</comments>
</file>

<file path=xl/sharedStrings.xml><?xml version="1.0" encoding="utf-8"?>
<sst xmlns="http://schemas.openxmlformats.org/spreadsheetml/2006/main" count="590" uniqueCount="316">
  <si>
    <t>Розничные продажи</t>
  </si>
  <si>
    <t>Количество чеков</t>
  </si>
  <si>
    <t>Скидка оплатой бонусами</t>
  </si>
  <si>
    <t>Продажи через интернет магазин</t>
  </si>
  <si>
    <t>Количество заказов</t>
  </si>
  <si>
    <t>Оптовые продажи</t>
  </si>
  <si>
    <t>Итого Валовая прибыль</t>
  </si>
  <si>
    <t>Паушальный взнос</t>
  </si>
  <si>
    <t>Наружная реклама</t>
  </si>
  <si>
    <t>Оборотные активы</t>
  </si>
  <si>
    <t>Закупка товара</t>
  </si>
  <si>
    <t>Себестоимость проданного товара</t>
  </si>
  <si>
    <t>Товарные остатки</t>
  </si>
  <si>
    <t>Текущие расходы</t>
  </si>
  <si>
    <t>Аренда, коммунальные платежи, охрана</t>
  </si>
  <si>
    <t>Интернет, связь</t>
  </si>
  <si>
    <t>Хоз нужды и прочее</t>
  </si>
  <si>
    <t>Уборка помещения</t>
  </si>
  <si>
    <t>Аренда ПО 1С</t>
  </si>
  <si>
    <t>Рекламные расходы % от плана</t>
  </si>
  <si>
    <t>услуги сторонних организаций</t>
  </si>
  <si>
    <t>ФОТ (Фонд оплаты труда)</t>
  </si>
  <si>
    <t>Логист</t>
  </si>
  <si>
    <t>Менеджер по рекламе</t>
  </si>
  <si>
    <t>Бухгалтер (внештатный)</t>
  </si>
  <si>
    <t>Налоги</t>
  </si>
  <si>
    <t>ЕНВД</t>
  </si>
  <si>
    <t>Зарплатные</t>
  </si>
  <si>
    <t>ед. изм</t>
  </si>
  <si>
    <t>1-й месяц</t>
  </si>
  <si>
    <t>2-й месяц</t>
  </si>
  <si>
    <t>3-й месяц</t>
  </si>
  <si>
    <t>4-й месяц</t>
  </si>
  <si>
    <t>5-й месяц</t>
  </si>
  <si>
    <t>6-й месяц</t>
  </si>
  <si>
    <t>7-й месяц</t>
  </si>
  <si>
    <t>8-й месяц</t>
  </si>
  <si>
    <t>9-й месяц</t>
  </si>
  <si>
    <t>10-й месяц</t>
  </si>
  <si>
    <t>11-й месяц</t>
  </si>
  <si>
    <t>12-й месяц</t>
  </si>
  <si>
    <t>Итого доход от продаж</t>
  </si>
  <si>
    <t>Итого, расходная часть</t>
  </si>
  <si>
    <t xml:space="preserve">Инвестиционный Бюджет </t>
  </si>
  <si>
    <t>Оргтехника и средства связи</t>
  </si>
  <si>
    <t>Косметический ремонт</t>
  </si>
  <si>
    <t>Итого инвестиционный бюджет</t>
  </si>
  <si>
    <t>Средний чек</t>
  </si>
  <si>
    <t>Сумма розничных продаж</t>
  </si>
  <si>
    <t>себестоимость розничных продаж</t>
  </si>
  <si>
    <t>Валовая прибыль</t>
  </si>
  <si>
    <t xml:space="preserve">итого, за год </t>
  </si>
  <si>
    <t>шт</t>
  </si>
  <si>
    <t>13-й месяц</t>
  </si>
  <si>
    <t>14-й месяц</t>
  </si>
  <si>
    <t>15-й месяц</t>
  </si>
  <si>
    <t>16-й месяц</t>
  </si>
  <si>
    <t>17-й месяц</t>
  </si>
  <si>
    <t>18-й месяц</t>
  </si>
  <si>
    <t>19-й месяц</t>
  </si>
  <si>
    <t>20-й месяц</t>
  </si>
  <si>
    <t>21-й месяц</t>
  </si>
  <si>
    <t>22-й месяц</t>
  </si>
  <si>
    <t>23-й месяц</t>
  </si>
  <si>
    <t>Себестоимость среднего чека</t>
  </si>
  <si>
    <t>руб</t>
  </si>
  <si>
    <t>итого валовая прибыль за минусом скидок</t>
  </si>
  <si>
    <t>розничные продажи</t>
  </si>
  <si>
    <t xml:space="preserve">скидка оплатой бонусами </t>
  </si>
  <si>
    <t>%</t>
  </si>
  <si>
    <t>Величина наценки</t>
  </si>
  <si>
    <t>Показатели направления продаж</t>
  </si>
  <si>
    <t>Сумма продаж через интернет</t>
  </si>
  <si>
    <t>себестоимость  продаж  через интернет</t>
  </si>
  <si>
    <t>сумма оптовых продаж</t>
  </si>
  <si>
    <t xml:space="preserve">себестоимость   оптовых продаж  </t>
  </si>
  <si>
    <t xml:space="preserve">СУММА ПРОДАЖ ВСЕГО </t>
  </si>
  <si>
    <t>Валовая прибыль розничные продажи</t>
  </si>
  <si>
    <t>валовая прибыль интернет-продажи</t>
  </si>
  <si>
    <t>валовая прибыль оптовые продажи</t>
  </si>
  <si>
    <t>Коэфицент товарооборот/запасы</t>
  </si>
  <si>
    <t>Бюджет операционных затрат (среднемес.затраты )</t>
  </si>
  <si>
    <t>Изготовление бонусных карт</t>
  </si>
  <si>
    <t>Торговое и складское оборудование</t>
  </si>
  <si>
    <t>инвестиции в товарный запас</t>
  </si>
  <si>
    <t>стоимость аренды 1 кв. м</t>
  </si>
  <si>
    <t>площадь помещения</t>
  </si>
  <si>
    <t>раз</t>
  </si>
  <si>
    <t>Доставка  товара*</t>
  </si>
  <si>
    <t xml:space="preserve">количество поставок </t>
  </si>
  <si>
    <t>стоимость одной доставки МСК- город</t>
  </si>
  <si>
    <t>руб/кв.м</t>
  </si>
  <si>
    <t>кв. м</t>
  </si>
  <si>
    <t>шт.</t>
  </si>
  <si>
    <t xml:space="preserve">итого, за первый год </t>
  </si>
  <si>
    <t xml:space="preserve">итого, за второй год </t>
  </si>
  <si>
    <t>итого операционная прибыль</t>
  </si>
  <si>
    <t>24-й месяц</t>
  </si>
  <si>
    <t>Итоговые показатели окупаемости</t>
  </si>
  <si>
    <t>Прибыль за минусом инвестиций нарастающим итогом **</t>
  </si>
  <si>
    <t>** Максимальная величина инвестиций равна руб.</t>
  </si>
  <si>
    <t xml:space="preserve">Продавец -консультант </t>
  </si>
  <si>
    <t>оклад</t>
  </si>
  <si>
    <t>итого оплата 1 продавца-консультанта</t>
  </si>
  <si>
    <t>ФОТ продавец-консультант</t>
  </si>
  <si>
    <t>величина премии от розничных продаж</t>
  </si>
  <si>
    <t xml:space="preserve">Положительная операционная прибыль на </t>
  </si>
  <si>
    <t>Окупаемость инвестиций</t>
  </si>
  <si>
    <t>Параметры проекта</t>
  </si>
  <si>
    <t>Наименование местонахождения (город, населенный пункт)</t>
  </si>
  <si>
    <t>Численность населения</t>
  </si>
  <si>
    <t>Наименование юридического лица</t>
  </si>
  <si>
    <t>Адрес магазина ( в т.ч. наименование торгового центра)</t>
  </si>
  <si>
    <t xml:space="preserve">Площадь торгового зала, кв м </t>
  </si>
  <si>
    <t>Площадь магазина общая, кв м</t>
  </si>
  <si>
    <t>Арендная ставка (р/кв.м), р</t>
  </si>
  <si>
    <t>Операционные затраты</t>
  </si>
  <si>
    <t>Аренда</t>
  </si>
  <si>
    <t>Логистика</t>
  </si>
  <si>
    <t>величина</t>
  </si>
  <si>
    <t>Инвестиционные расходы</t>
  </si>
  <si>
    <t>Ремонт помещения</t>
  </si>
  <si>
    <t>площадь торгового зала</t>
  </si>
  <si>
    <t xml:space="preserve">Коммерческие показатели </t>
  </si>
  <si>
    <t xml:space="preserve">40-60 </t>
  </si>
  <si>
    <t>при площади торгового зала, кв. м</t>
  </si>
  <si>
    <t>60-80</t>
  </si>
  <si>
    <t>80-100</t>
  </si>
  <si>
    <t>базовая</t>
  </si>
  <si>
    <t>Себестоимость среднего чека, р</t>
  </si>
  <si>
    <t>Величина наценки, %</t>
  </si>
  <si>
    <t>кол-во чеков в 1 месяц</t>
  </si>
  <si>
    <t>Кол-во покупателей в 1 месяц</t>
  </si>
  <si>
    <t>% конверсии трафика покупателей*</t>
  </si>
  <si>
    <t>коэффициент динамики</t>
  </si>
  <si>
    <t>Количество спортивных центров, фитнес клубов в городе. Населенном пункте</t>
  </si>
  <si>
    <t>Конкуренция</t>
  </si>
  <si>
    <t>1. Общая информация о проекте (данные заполняются менеджером по продаже франшизы)</t>
  </si>
  <si>
    <t>Торговое и складское оборудование р. / 1 кв м</t>
  </si>
  <si>
    <t>инвестиции в товарный запас р. /1 кв.м</t>
  </si>
  <si>
    <t>расходы в привлечение интернет заказа , р. = 1 новый клиент</t>
  </si>
  <si>
    <t>Услуги банка  (эквайринг ) %</t>
  </si>
  <si>
    <t>количество поставок товара в месяц</t>
  </si>
  <si>
    <t>Услуги банка, эквайринг %</t>
  </si>
  <si>
    <t>Услуги банка, эквайринг сумма</t>
  </si>
  <si>
    <t>Рекламные расходы % от плана в первые 3 месяца работы магазина</t>
  </si>
  <si>
    <t>Рекламные расходы % от плана с 4-го месяца работы магазина (текущий)</t>
  </si>
  <si>
    <t>Количество продавцов-консультантов, шт.</t>
  </si>
  <si>
    <t>Окладная часть, р 1 продавца-консультанта</t>
  </si>
  <si>
    <t>Логист с 4-го месяца работы магазина</t>
  </si>
  <si>
    <t>Бухгалтер (внештатный) с 3-го месяца работы магазина</t>
  </si>
  <si>
    <t>Менеджер по рекламе с 6-го месяца работы магазина</t>
  </si>
  <si>
    <t>также предусмотреть % от оптовых и интернет продаж, иначе не будет заинтересованности в направлении продаж.</t>
  </si>
  <si>
    <t>Штатное  расписание и система мотивации персонала</t>
  </si>
  <si>
    <t>Переменная часть (% от розничных продаж), % 1 продавца-консультанта**</t>
  </si>
  <si>
    <t xml:space="preserve">**Примечание не для клиента:  в премияльной части предусмотреть градацию % от объема розничных продаж по убывающей динамике </t>
  </si>
  <si>
    <t>3. Параметры деятельности  (базовые данные Франчайзера)*</t>
  </si>
  <si>
    <t>Стоимость одной доставки   (условии компании - экспедитора, либо стоимость самовывоза)*</t>
  </si>
  <si>
    <t>2. Параметры деятельности (данные заполняются  франчайзи партнером)</t>
  </si>
  <si>
    <t xml:space="preserve">Расчет коммерческой и финансовой эффективности  </t>
  </si>
  <si>
    <t>Продажи  через интернет магазин</t>
  </si>
  <si>
    <t xml:space="preserve">* Франчайзи партнер вправе вносить поправки и изменения в отдельные блоки </t>
  </si>
  <si>
    <t>по согласованию с Франчайзером</t>
  </si>
  <si>
    <t>От выбранного формата зависит и покупательский поток, чем больше магазин, тем больше у него покупателей</t>
  </si>
  <si>
    <t xml:space="preserve">Хоз нужды и прочее </t>
  </si>
  <si>
    <t>Колличесво с прогнозируемыми рефералами</t>
  </si>
  <si>
    <t>1. Задача привлекать по 3 новых контрагента в месяц. Сдесь нет ограничений и всё зависит от желание владельца бизнеса. Можно в первый месяц на 300-400 оптом продать при желании. 2. Как правило новый оптовик покупает 1-2 раза ежемесячно</t>
  </si>
  <si>
    <t>4.Маркетинг</t>
  </si>
  <si>
    <t>Разданно бонусных карт, шт</t>
  </si>
  <si>
    <t>Конверсия возврата карт, %</t>
  </si>
  <si>
    <t>Количество розданных карт за 3 месяца</t>
  </si>
  <si>
    <t>расходы в привлечение интернет заказа</t>
  </si>
  <si>
    <t>абонентская оплата (сопровождение) с 4-го месяца работы (Дизайн,SMM и другие спец)</t>
  </si>
  <si>
    <t>Розница :</t>
  </si>
  <si>
    <t>Интернет-магазин :</t>
  </si>
  <si>
    <t>План по привлечению заказов, шт в месяц</t>
  </si>
  <si>
    <t>**зависит от стоимости привлечения трафика по региону. Можно рассчитать достаточно точно стоимость привлечения заказа.</t>
  </si>
  <si>
    <t>Стоимость привлечение заказа, руб</t>
  </si>
  <si>
    <t xml:space="preserve">  - Заказов в день</t>
  </si>
  <si>
    <t xml:space="preserve"> - Новых клиентов в день</t>
  </si>
  <si>
    <t xml:space="preserve">Интернет маркетогогу ставиться план. По которому выплачивается 500р за заказ новым клиентом выше 2500р. Средний возврат по интернет магазину 50% за 2 месяца. Целевой показатель20 новых клиентов.  </t>
  </si>
  <si>
    <t>План по привлечению новых покупателей, чел в месяц</t>
  </si>
  <si>
    <t>1 месяц</t>
  </si>
  <si>
    <t>* Доставка товара рассчитывается из учета тарифа на одну доставку по маршруту Тольятти- (склад поставщика) - город франчайзи партнера (склад покупателя)</t>
  </si>
  <si>
    <t>Киров</t>
  </si>
  <si>
    <t xml:space="preserve">Обратить внимание.
На действия конкурентов. Возможны снижения розничных цен. 
Сколько будем закладывать в бонусную систему. Имеет смысл попробовать систему 3% с собственных покупок + 7% от покупок друзей.  
</t>
  </si>
  <si>
    <t>1.Красным указан плановый прирост новых клиентов. План по новым - 50 
2. Целевой % повторных покупок за 2 месяца 60% . После покупки в Мае, за Июнь и Июль должно вернуться 60% клиентов за новой покупкой.  
3. Первые три месяца мы запускаем программу с подарочными сертфикатами с 500р бонусов. Раздача карт происходит в фитнес клубах и на массовых спортивных мероприятиях, а также в конкурсах и розыгрышах в соц. сетях. Планируется раздать 1500 карт. Конверсия с раздачи не менее 9%. Все возвраты по картам приходятся на первые 3 месяца(т.е. минимум 105 человек придут с картами) Вам остается привлеч 70 продаж другими способами</t>
  </si>
  <si>
    <t>Аренда лицензии 1С</t>
  </si>
  <si>
    <t>Себестоимость</t>
  </si>
  <si>
    <t>Прочие доходы</t>
  </si>
  <si>
    <t>Прочие расходы</t>
  </si>
  <si>
    <t xml:space="preserve">Налоги </t>
  </si>
  <si>
    <t xml:space="preserve">Прибыль чистая </t>
  </si>
  <si>
    <t xml:space="preserve">Выручка (оборот) </t>
  </si>
  <si>
    <t>Период</t>
  </si>
  <si>
    <t>Операционная прибыль:</t>
  </si>
  <si>
    <t>Валовая прибыль (маржа):</t>
  </si>
  <si>
    <t>Аренда облака 1С</t>
  </si>
  <si>
    <t xml:space="preserve">Доставка </t>
  </si>
  <si>
    <t>Хоз расходы</t>
  </si>
  <si>
    <t>Интернет и телефония</t>
  </si>
  <si>
    <t>Мелкооптовые продажи</t>
  </si>
  <si>
    <t>Интернет-продажи</t>
  </si>
  <si>
    <t>Коммунальные платежи</t>
  </si>
  <si>
    <t xml:space="preserve">Прочие административные </t>
  </si>
  <si>
    <t>Площадь помещения</t>
  </si>
  <si>
    <t>из них торговая (без подсобки и склада)</t>
  </si>
  <si>
    <t>Административные расходы</t>
  </si>
  <si>
    <t>Инвестиционные затраты</t>
  </si>
  <si>
    <t>ЗАТРАТЫ</t>
  </si>
  <si>
    <t>КОЛ-ВО</t>
  </si>
  <si>
    <t>ЦЕНА ЗА ЕД.</t>
  </si>
  <si>
    <t>СУММА</t>
  </si>
  <si>
    <t>ТОВАРНОЕ НАПОЛНЕНИЕ</t>
  </si>
  <si>
    <t>Товар</t>
  </si>
  <si>
    <t>ПОДАРОК</t>
  </si>
  <si>
    <t>ОРГТЕХНИКА И СРЕДСТВА СВЯЗИ</t>
  </si>
  <si>
    <t>Корзина для бумаги</t>
  </si>
  <si>
    <t>Роутер</t>
  </si>
  <si>
    <t>Мышь</t>
  </si>
  <si>
    <t>Стул Кассира</t>
  </si>
  <si>
    <t>ОБЩЕХОЗЯЙСТВЕННЫЕ РАСХОДЫ</t>
  </si>
  <si>
    <t>Хоз.Товары</t>
  </si>
  <si>
    <t>Канц. Товары</t>
  </si>
  <si>
    <t>Уголок потребителя</t>
  </si>
  <si>
    <t>Кассовая лента</t>
  </si>
  <si>
    <t>СУВЕНИРНАЯ ПРОДУКЦИЯ</t>
  </si>
  <si>
    <t>ПРОДВИЖЕНИЕ</t>
  </si>
  <si>
    <t>Реклама в Вконтакте</t>
  </si>
  <si>
    <t>Афиши в фитнес клубы А3</t>
  </si>
  <si>
    <t>Наклейки на авто</t>
  </si>
  <si>
    <t>МЕРОПРИЯТИЕ НА ОТКРЫТИЕ (EVENT)</t>
  </si>
  <si>
    <t>Шарики 30см ( с гелием)</t>
  </si>
  <si>
    <t>Фотограф</t>
  </si>
  <si>
    <t>Дегустация</t>
  </si>
  <si>
    <t>Звуковое оборудование</t>
  </si>
  <si>
    <t>Промоутеры</t>
  </si>
  <si>
    <t>НЕПРЕДВИДЕННЫЕ РАСХОДЫ</t>
  </si>
  <si>
    <t>ИТОГО ЗАТРАТ</t>
  </si>
  <si>
    <t xml:space="preserve">ПРОЕКТ БЮДЖЕТА НА ОТКРЫТИЕ ТОРГОВОЙ ТОЧКИ </t>
  </si>
  <si>
    <t>ОПЛАТА ПАУШАЛЬНОГО ВЗНОСА</t>
  </si>
  <si>
    <t>Количество продавцов-консультантов, человек</t>
  </si>
  <si>
    <t>Окладная часть</t>
  </si>
  <si>
    <t xml:space="preserve">Переменная часть (средний % от розничных продаж), % </t>
  </si>
  <si>
    <t>Административные расходы :</t>
  </si>
  <si>
    <t>Коммерческие расходы :</t>
  </si>
  <si>
    <t>Охрана</t>
  </si>
  <si>
    <t>Торговое и складское оборудование (расчёт на м2)</t>
  </si>
  <si>
    <t>2. Базовые параметры деятельности</t>
  </si>
  <si>
    <t>Рентабельность продаж</t>
  </si>
  <si>
    <t>Старт продаж</t>
  </si>
  <si>
    <t>Себест</t>
  </si>
  <si>
    <t>Рентабельность</t>
  </si>
  <si>
    <t>Средний уровень скидок, %</t>
  </si>
  <si>
    <t>Средний чек, руб</t>
  </si>
  <si>
    <t>Стартовый прогноз продаж, заказов</t>
  </si>
  <si>
    <t>Коэффицент ежемесячного прироста количества чеков*</t>
  </si>
  <si>
    <t>Коэффицент ежемесячного прироста количества заказов*</t>
  </si>
  <si>
    <t>Коэффицент ежемесячного прироста оптовых заказов*</t>
  </si>
  <si>
    <t xml:space="preserve">Расходы на рекламу и продвижение </t>
  </si>
  <si>
    <t>Прибыль до налогов (EBITDA)</t>
  </si>
  <si>
    <t>Услуги банка и коммисия по эквайрингу</t>
  </si>
  <si>
    <t>ФОТ: Торговый персонал</t>
  </si>
  <si>
    <t>Выплаты по кредитам, займам:</t>
  </si>
  <si>
    <t>Средний уровень скидок/оплат бонусами, %</t>
  </si>
  <si>
    <t xml:space="preserve">АРЕНДА ЗА ПЕРВЫЙ МЕСЯЦ </t>
  </si>
  <si>
    <t>Доля рекламы в заказе(Контестная и прочая реклама), %</t>
  </si>
  <si>
    <t>Валовая маржинальность продажи</t>
  </si>
  <si>
    <t>Колличество чеков</t>
  </si>
  <si>
    <t>Уровень скидок</t>
  </si>
  <si>
    <t>Стоимость доставки (средневзвешенная), %</t>
  </si>
  <si>
    <t>Прибыль нарастающим итогом</t>
  </si>
  <si>
    <t xml:space="preserve">Аренда </t>
  </si>
  <si>
    <t>Отчёт о прибылях и убытках (ОПиУ, P&amp;L)</t>
  </si>
  <si>
    <t>Административные расходы(постоянные):</t>
  </si>
  <si>
    <t>Коммерческие расходы(переменные):</t>
  </si>
  <si>
    <t>Месяц 1</t>
  </si>
  <si>
    <t>Месяц 2</t>
  </si>
  <si>
    <t>Месяц 3</t>
  </si>
  <si>
    <t>Месяц 4</t>
  </si>
  <si>
    <t>Месяц 5</t>
  </si>
  <si>
    <t>Месяц 6</t>
  </si>
  <si>
    <t>Месяц 7</t>
  </si>
  <si>
    <t>Месяц 8</t>
  </si>
  <si>
    <t>Месяц 9</t>
  </si>
  <si>
    <t>Месяц 10</t>
  </si>
  <si>
    <t>Месяц 11</t>
  </si>
  <si>
    <t>Месяц 12</t>
  </si>
  <si>
    <t xml:space="preserve">Количество чеков в первый месяц работы </t>
  </si>
  <si>
    <t>либо разовая покупка 15000</t>
  </si>
  <si>
    <t>Услуги товароведа и менеджера по оборачиваемости+ продвижение сайт на регион</t>
  </si>
  <si>
    <t xml:space="preserve">подарки клиентам </t>
  </si>
  <si>
    <t>Поцент с заказанного товара СТМ (роялти нет)</t>
  </si>
  <si>
    <t xml:space="preserve">спортивное питание на 30 000 рублей на открытие как подарок для клиента   </t>
  </si>
  <si>
    <t>первый взнос за аренду 1С+ работа по синхронизации всей системы с головным офисом</t>
  </si>
  <si>
    <t>Сканер</t>
  </si>
  <si>
    <t xml:space="preserve">подарочные карты на открытие </t>
  </si>
  <si>
    <t>арахисовая паста  на открытие</t>
  </si>
  <si>
    <t>Трафарет на дверь</t>
  </si>
  <si>
    <t>короб</t>
  </si>
  <si>
    <t xml:space="preserve">запсук сайта + продвижение на месяц </t>
  </si>
  <si>
    <t>визитки</t>
  </si>
  <si>
    <t xml:space="preserve">пакеты </t>
  </si>
  <si>
    <t>не обязательно</t>
  </si>
  <si>
    <t xml:space="preserve">брендированный стол </t>
  </si>
  <si>
    <t xml:space="preserve">Телефон </t>
  </si>
  <si>
    <t>ОБОРУДОВАНИЕ В МАГАЗИНЕ</t>
  </si>
  <si>
    <t>стеллажи+ брендированные наклейки</t>
  </si>
  <si>
    <t>лучше разово купить за 14999</t>
  </si>
  <si>
    <t>набор для клининга</t>
  </si>
  <si>
    <t>приезд двух  представтелей компании body-pit.ru  для оказания помощи при открытии магазина, с проживанием питанием и перелетом</t>
  </si>
  <si>
    <t>видеонаблюдение</t>
  </si>
  <si>
    <t>ноутбук</t>
  </si>
  <si>
    <t xml:space="preserve">1. ОБЩИЕ ПАРАМЕТРЫ ДЕЯТЕЛЬНОСТИ. </t>
  </si>
  <si>
    <t>декабрь</t>
  </si>
  <si>
    <t>апрель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</si>
</sst>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"/>
    <numFmt numFmtId="174" formatCode="0.0%"/>
    <numFmt numFmtId="175" formatCode="[$-FC19]d\ mmmm\ yyyy\ &quot;г.&quot;"/>
    <numFmt numFmtId="176" formatCode="0.000"/>
    <numFmt numFmtId="177" formatCode="0.0000"/>
    <numFmt numFmtId="178" formatCode="0.0000000"/>
    <numFmt numFmtId="179" formatCode="0.000000"/>
    <numFmt numFmtId="180" formatCode="0.00000"/>
    <numFmt numFmtId="181" formatCode="0.0000000000"/>
    <numFmt numFmtId="182" formatCode="0.000000000"/>
    <numFmt numFmtId="183" formatCode="0.0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  <numFmt numFmtId="189" formatCode="000000"/>
    <numFmt numFmtId="190" formatCode="#,##0;[Red]#,##0"/>
    <numFmt numFmtId="191" formatCode="dd/mm/yyyy"/>
  </numFmts>
  <fonts count="10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Tahoma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1"/>
      <name val="Arial Cyr"/>
      <family val="0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u val="single"/>
      <sz val="11"/>
      <color indexed="3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8"/>
      <name val="Tahoma"/>
      <family val="2"/>
    </font>
    <font>
      <sz val="10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i/>
      <sz val="11"/>
      <color indexed="9"/>
      <name val="Arial"/>
      <family val="2"/>
    </font>
    <font>
      <i/>
      <sz val="10"/>
      <color indexed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4"/>
      <color indexed="57"/>
      <name val="Arial"/>
      <family val="2"/>
    </font>
    <font>
      <i/>
      <sz val="11"/>
      <color indexed="10"/>
      <name val="Calibri"/>
      <family val="2"/>
    </font>
    <font>
      <b/>
      <sz val="10"/>
      <color indexed="62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b/>
      <sz val="12"/>
      <color indexed="57"/>
      <name val="Arial"/>
      <family val="2"/>
    </font>
    <font>
      <sz val="14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57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i/>
      <sz val="10"/>
      <color indexed="8"/>
      <name val="Calibri"/>
      <family val="2"/>
    </font>
    <font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0"/>
      <name val="Arial"/>
      <family val="2"/>
    </font>
    <font>
      <i/>
      <sz val="10"/>
      <color rgb="FFFF0000"/>
      <name val="Arial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sz val="10"/>
      <color theme="0"/>
      <name val="Arial"/>
      <family val="2"/>
    </font>
    <font>
      <b/>
      <sz val="14"/>
      <color theme="6" tint="-0.24997000396251678"/>
      <name val="Arial"/>
      <family val="2"/>
    </font>
    <font>
      <i/>
      <sz val="11"/>
      <color rgb="FFFF0000"/>
      <name val="Calibri"/>
      <family val="2"/>
    </font>
    <font>
      <b/>
      <sz val="10"/>
      <color theme="3"/>
      <name val="Arial"/>
      <family val="2"/>
    </font>
    <font>
      <b/>
      <sz val="10"/>
      <color theme="6" tint="-0.4999699890613556"/>
      <name val="Arial"/>
      <family val="2"/>
    </font>
    <font>
      <sz val="10"/>
      <color theme="6" tint="-0.4999699890613556"/>
      <name val="Arial"/>
      <family val="2"/>
    </font>
    <font>
      <sz val="10"/>
      <color rgb="FFFF0000"/>
      <name val="Arial"/>
      <family val="2"/>
    </font>
    <font>
      <b/>
      <sz val="12"/>
      <color theme="6"/>
      <name val="Arial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6" tint="-0.4999699890613556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Calibri"/>
      <family val="2"/>
    </font>
    <font>
      <b/>
      <sz val="14"/>
      <color theme="6" tint="-0.4999699890613556"/>
      <name val="Arial"/>
      <family val="2"/>
    </font>
    <font>
      <b/>
      <i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3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66" fillId="0" borderId="7" applyNumberFormat="0" applyFill="0" applyAlignment="0" applyProtection="0"/>
    <xf numFmtId="0" fontId="67" fillId="29" borderId="8" applyNumberFormat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1" fillId="31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9" fontId="0" fillId="0" borderId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76" fillId="32" borderId="0" applyNumberFormat="0" applyBorder="0" applyAlignment="0" applyProtection="0"/>
    <xf numFmtId="0" fontId="1" fillId="0" borderId="0">
      <alignment/>
      <protection/>
    </xf>
  </cellStyleXfs>
  <cellXfs count="394">
    <xf numFmtId="0" fontId="0" fillId="0" borderId="0" xfId="0" applyAlignment="1">
      <alignment/>
    </xf>
    <xf numFmtId="0" fontId="1" fillId="0" borderId="0" xfId="72">
      <alignment/>
      <protection/>
    </xf>
    <xf numFmtId="0" fontId="1" fillId="0" borderId="10" xfId="72" applyBorder="1">
      <alignment/>
      <protection/>
    </xf>
    <xf numFmtId="0" fontId="1" fillId="0" borderId="0" xfId="72" applyFill="1" applyBorder="1" applyAlignment="1">
      <alignment/>
      <protection/>
    </xf>
    <xf numFmtId="0" fontId="1" fillId="0" borderId="0" xfId="72" applyAlignment="1">
      <alignment horizontal="center" vertical="top" wrapText="1"/>
      <protection/>
    </xf>
    <xf numFmtId="0" fontId="3" fillId="0" borderId="0" xfId="72" applyFont="1">
      <alignment/>
      <protection/>
    </xf>
    <xf numFmtId="0" fontId="1" fillId="0" borderId="11" xfId="72" applyBorder="1">
      <alignment/>
      <protection/>
    </xf>
    <xf numFmtId="0" fontId="1" fillId="0" borderId="0" xfId="72" applyBorder="1">
      <alignment/>
      <protection/>
    </xf>
    <xf numFmtId="0" fontId="1" fillId="33" borderId="0" xfId="72" applyFont="1" applyFill="1" applyBorder="1" applyAlignment="1">
      <alignment horizontal="center" wrapText="1"/>
      <protection/>
    </xf>
    <xf numFmtId="0" fontId="1" fillId="33" borderId="12" xfId="72" applyFill="1" applyBorder="1">
      <alignment/>
      <protection/>
    </xf>
    <xf numFmtId="0" fontId="3" fillId="33" borderId="12" xfId="72" applyFont="1" applyFill="1" applyBorder="1">
      <alignment/>
      <protection/>
    </xf>
    <xf numFmtId="0" fontId="1" fillId="33" borderId="13" xfId="72" applyFill="1" applyBorder="1">
      <alignment/>
      <protection/>
    </xf>
    <xf numFmtId="0" fontId="1" fillId="33" borderId="14" xfId="72" applyFill="1" applyBorder="1">
      <alignment/>
      <protection/>
    </xf>
    <xf numFmtId="0" fontId="1" fillId="0" borderId="12" xfId="72" applyBorder="1">
      <alignment/>
      <protection/>
    </xf>
    <xf numFmtId="9" fontId="1" fillId="0" borderId="12" xfId="72" applyNumberFormat="1" applyBorder="1">
      <alignment/>
      <protection/>
    </xf>
    <xf numFmtId="0" fontId="1" fillId="0" borderId="12" xfId="72" applyFont="1" applyBorder="1" applyAlignment="1">
      <alignment wrapText="1"/>
      <protection/>
    </xf>
    <xf numFmtId="0" fontId="1" fillId="0" borderId="12" xfId="72" applyFont="1" applyBorder="1">
      <alignment/>
      <protection/>
    </xf>
    <xf numFmtId="9" fontId="1" fillId="0" borderId="12" xfId="72" applyNumberFormat="1" applyFont="1" applyBorder="1">
      <alignment/>
      <protection/>
    </xf>
    <xf numFmtId="9" fontId="1" fillId="34" borderId="12" xfId="72" applyNumberFormat="1" applyFont="1" applyFill="1" applyBorder="1">
      <alignment/>
      <protection/>
    </xf>
    <xf numFmtId="3" fontId="1" fillId="0" borderId="12" xfId="72" applyNumberFormat="1" applyFont="1" applyBorder="1">
      <alignment/>
      <protection/>
    </xf>
    <xf numFmtId="3" fontId="1" fillId="35" borderId="12" xfId="72" applyNumberFormat="1" applyFont="1" applyFill="1" applyBorder="1">
      <alignment/>
      <protection/>
    </xf>
    <xf numFmtId="3" fontId="9" fillId="0" borderId="12" xfId="72" applyNumberFormat="1" applyFont="1" applyBorder="1">
      <alignment/>
      <protection/>
    </xf>
    <xf numFmtId="3" fontId="9" fillId="33" borderId="12" xfId="72" applyNumberFormat="1" applyFont="1" applyFill="1" applyBorder="1">
      <alignment/>
      <protection/>
    </xf>
    <xf numFmtId="1" fontId="1" fillId="0" borderId="12" xfId="72" applyNumberFormat="1" applyFont="1" applyBorder="1">
      <alignment/>
      <protection/>
    </xf>
    <xf numFmtId="1" fontId="1" fillId="0" borderId="0" xfId="72" applyNumberFormat="1">
      <alignment/>
      <protection/>
    </xf>
    <xf numFmtId="0" fontId="75" fillId="0" borderId="0" xfId="72" applyFont="1" applyBorder="1" applyAlignment="1">
      <alignment horizontal="center" vertical="top" wrapText="1"/>
      <protection/>
    </xf>
    <xf numFmtId="0" fontId="75" fillId="0" borderId="0" xfId="72" applyFont="1" applyAlignment="1">
      <alignment horizontal="center" vertical="top" wrapText="1"/>
      <protection/>
    </xf>
    <xf numFmtId="0" fontId="75" fillId="0" borderId="0" xfId="72" applyFont="1">
      <alignment/>
      <protection/>
    </xf>
    <xf numFmtId="0" fontId="75" fillId="0" borderId="0" xfId="72" applyFont="1" applyBorder="1">
      <alignment/>
      <protection/>
    </xf>
    <xf numFmtId="0" fontId="75" fillId="33" borderId="13" xfId="72" applyFont="1" applyFill="1" applyBorder="1">
      <alignment/>
      <protection/>
    </xf>
    <xf numFmtId="0" fontId="75" fillId="0" borderId="11" xfId="72" applyFont="1" applyBorder="1">
      <alignment/>
      <protection/>
    </xf>
    <xf numFmtId="0" fontId="1" fillId="0" borderId="0" xfId="72" applyFill="1">
      <alignment/>
      <protection/>
    </xf>
    <xf numFmtId="0" fontId="1" fillId="0" borderId="10" xfId="72" applyFill="1" applyBorder="1">
      <alignment/>
      <protection/>
    </xf>
    <xf numFmtId="0" fontId="1" fillId="0" borderId="15" xfId="72" applyFont="1" applyFill="1" applyBorder="1" applyAlignment="1">
      <alignment horizontal="center" wrapText="1"/>
      <protection/>
    </xf>
    <xf numFmtId="0" fontId="1" fillId="33" borderId="0" xfId="72" applyFill="1" applyBorder="1">
      <alignment/>
      <protection/>
    </xf>
    <xf numFmtId="3" fontId="1" fillId="0" borderId="12" xfId="72" applyNumberFormat="1" applyBorder="1">
      <alignment/>
      <protection/>
    </xf>
    <xf numFmtId="3" fontId="77" fillId="0" borderId="12" xfId="72" applyNumberFormat="1" applyFont="1" applyBorder="1">
      <alignment/>
      <protection/>
    </xf>
    <xf numFmtId="0" fontId="9" fillId="0" borderId="12" xfId="72" applyFont="1" applyBorder="1">
      <alignment/>
      <protection/>
    </xf>
    <xf numFmtId="1" fontId="9" fillId="0" borderId="12" xfId="72" applyNumberFormat="1" applyFont="1" applyBorder="1">
      <alignment/>
      <protection/>
    </xf>
    <xf numFmtId="0" fontId="9" fillId="0" borderId="12" xfId="72" applyFont="1" applyBorder="1" applyAlignment="1">
      <alignment wrapText="1"/>
      <protection/>
    </xf>
    <xf numFmtId="3" fontId="1" fillId="0" borderId="0" xfId="72" applyNumberFormat="1">
      <alignment/>
      <protection/>
    </xf>
    <xf numFmtId="3" fontId="1" fillId="33" borderId="12" xfId="72" applyNumberFormat="1" applyFill="1" applyBorder="1">
      <alignment/>
      <protection/>
    </xf>
    <xf numFmtId="3" fontId="75" fillId="0" borderId="12" xfId="72" applyNumberFormat="1" applyFont="1" applyBorder="1">
      <alignment/>
      <protection/>
    </xf>
    <xf numFmtId="1" fontId="1" fillId="0" borderId="12" xfId="72" applyNumberFormat="1" applyFont="1" applyBorder="1" applyAlignment="1">
      <alignment wrapText="1"/>
      <protection/>
    </xf>
    <xf numFmtId="0" fontId="1" fillId="0" borderId="13" xfId="72" applyBorder="1">
      <alignment/>
      <protection/>
    </xf>
    <xf numFmtId="0" fontId="77" fillId="0" borderId="0" xfId="72" applyFont="1" applyBorder="1">
      <alignment/>
      <protection/>
    </xf>
    <xf numFmtId="3" fontId="1" fillId="0" borderId="13" xfId="72" applyNumberFormat="1" applyBorder="1">
      <alignment/>
      <protection/>
    </xf>
    <xf numFmtId="0" fontId="1" fillId="36" borderId="12" xfId="72" applyFill="1" applyBorder="1">
      <alignment/>
      <protection/>
    </xf>
    <xf numFmtId="3" fontId="1" fillId="36" borderId="12" xfId="72" applyNumberFormat="1" applyFill="1" applyBorder="1">
      <alignment/>
      <protection/>
    </xf>
    <xf numFmtId="9" fontId="75" fillId="0" borderId="12" xfId="72" applyNumberFormat="1" applyFont="1" applyBorder="1">
      <alignment/>
      <protection/>
    </xf>
    <xf numFmtId="9" fontId="77" fillId="0" borderId="12" xfId="72" applyNumberFormat="1" applyFont="1" applyBorder="1">
      <alignment/>
      <protection/>
    </xf>
    <xf numFmtId="0" fontId="75" fillId="0" borderId="12" xfId="72" applyFont="1" applyBorder="1">
      <alignment/>
      <protection/>
    </xf>
    <xf numFmtId="0" fontId="77" fillId="0" borderId="12" xfId="72" applyFont="1" applyBorder="1">
      <alignment/>
      <protection/>
    </xf>
    <xf numFmtId="3" fontId="10" fillId="0" borderId="12" xfId="72" applyNumberFormat="1" applyFont="1" applyBorder="1">
      <alignment/>
      <protection/>
    </xf>
    <xf numFmtId="3" fontId="77" fillId="36" borderId="12" xfId="72" applyNumberFormat="1" applyFont="1" applyFill="1" applyBorder="1">
      <alignment/>
      <protection/>
    </xf>
    <xf numFmtId="0" fontId="77" fillId="36" borderId="12" xfId="72" applyFont="1" applyFill="1" applyBorder="1">
      <alignment/>
      <protection/>
    </xf>
    <xf numFmtId="0" fontId="77" fillId="36" borderId="0" xfId="72" applyFont="1" applyFill="1">
      <alignment/>
      <protection/>
    </xf>
    <xf numFmtId="3" fontId="1" fillId="37" borderId="12" xfId="72" applyNumberFormat="1" applyFont="1" applyFill="1" applyBorder="1">
      <alignment/>
      <protection/>
    </xf>
    <xf numFmtId="3" fontId="1" fillId="7" borderId="12" xfId="72" applyNumberFormat="1" applyFont="1" applyFill="1" applyBorder="1">
      <alignment/>
      <protection/>
    </xf>
    <xf numFmtId="3" fontId="10" fillId="7" borderId="12" xfId="72" applyNumberFormat="1" applyFont="1" applyFill="1" applyBorder="1">
      <alignment/>
      <protection/>
    </xf>
    <xf numFmtId="9" fontId="1" fillId="7" borderId="12" xfId="72" applyNumberFormat="1" applyFont="1" applyFill="1" applyBorder="1">
      <alignment/>
      <protection/>
    </xf>
    <xf numFmtId="3" fontId="77" fillId="37" borderId="12" xfId="72" applyNumberFormat="1" applyFont="1" applyFill="1" applyBorder="1">
      <alignment/>
      <protection/>
    </xf>
    <xf numFmtId="3" fontId="77" fillId="7" borderId="12" xfId="72" applyNumberFormat="1" applyFont="1" applyFill="1" applyBorder="1">
      <alignment/>
      <protection/>
    </xf>
    <xf numFmtId="0" fontId="1" fillId="37" borderId="12" xfId="72" applyFill="1" applyBorder="1">
      <alignment/>
      <protection/>
    </xf>
    <xf numFmtId="3" fontId="1" fillId="37" borderId="12" xfId="72" applyNumberFormat="1" applyFill="1" applyBorder="1">
      <alignment/>
      <protection/>
    </xf>
    <xf numFmtId="3" fontId="77" fillId="7" borderId="13" xfId="72" applyNumberFormat="1" applyFont="1" applyFill="1" applyBorder="1">
      <alignment/>
      <protection/>
    </xf>
    <xf numFmtId="3" fontId="1" fillId="7" borderId="12" xfId="72" applyNumberFormat="1" applyFill="1" applyBorder="1">
      <alignment/>
      <protection/>
    </xf>
    <xf numFmtId="0" fontId="1" fillId="7" borderId="11" xfId="72" applyFill="1" applyBorder="1">
      <alignment/>
      <protection/>
    </xf>
    <xf numFmtId="173" fontId="1" fillId="0" borderId="12" xfId="72" applyNumberFormat="1" applyBorder="1">
      <alignment/>
      <protection/>
    </xf>
    <xf numFmtId="0" fontId="10" fillId="0" borderId="12" xfId="0" applyFont="1" applyFill="1" applyBorder="1" applyAlignment="1">
      <alignment horizontal="left" vertical="center"/>
    </xf>
    <xf numFmtId="0" fontId="1" fillId="0" borderId="12" xfId="72" applyFont="1" applyBorder="1">
      <alignment/>
      <protection/>
    </xf>
    <xf numFmtId="0" fontId="1" fillId="0" borderId="16" xfId="72" applyFont="1" applyBorder="1">
      <alignment/>
      <protection/>
    </xf>
    <xf numFmtId="0" fontId="10" fillId="0" borderId="14" xfId="0" applyFont="1" applyFill="1" applyBorder="1" applyAlignment="1">
      <alignment horizontal="left" vertical="center"/>
    </xf>
    <xf numFmtId="0" fontId="2" fillId="36" borderId="17" xfId="72" applyFont="1" applyFill="1" applyBorder="1">
      <alignment/>
      <protection/>
    </xf>
    <xf numFmtId="0" fontId="1" fillId="36" borderId="0" xfId="72" applyFont="1" applyFill="1" applyBorder="1">
      <alignment/>
      <protection/>
    </xf>
    <xf numFmtId="0" fontId="1" fillId="36" borderId="10" xfId="72" applyFont="1" applyFill="1" applyBorder="1">
      <alignment/>
      <protection/>
    </xf>
    <xf numFmtId="0" fontId="1" fillId="38" borderId="18" xfId="72" applyFont="1" applyFill="1" applyBorder="1">
      <alignment/>
      <protection/>
    </xf>
    <xf numFmtId="0" fontId="1" fillId="36" borderId="0" xfId="72" applyFill="1" applyBorder="1">
      <alignment/>
      <protection/>
    </xf>
    <xf numFmtId="173" fontId="1" fillId="36" borderId="0" xfId="72" applyNumberFormat="1" applyFill="1" applyBorder="1">
      <alignment/>
      <protection/>
    </xf>
    <xf numFmtId="0" fontId="1" fillId="36" borderId="13" xfId="72" applyFill="1" applyBorder="1">
      <alignment/>
      <protection/>
    </xf>
    <xf numFmtId="173" fontId="1" fillId="36" borderId="18" xfId="72" applyNumberFormat="1" applyFill="1" applyBorder="1">
      <alignment/>
      <protection/>
    </xf>
    <xf numFmtId="0" fontId="1" fillId="7" borderId="12" xfId="72" applyFill="1" applyBorder="1">
      <alignment/>
      <protection/>
    </xf>
    <xf numFmtId="0" fontId="10" fillId="0" borderId="12" xfId="72" applyFont="1" applyBorder="1">
      <alignment/>
      <protection/>
    </xf>
    <xf numFmtId="0" fontId="10" fillId="10" borderId="12" xfId="72" applyFont="1" applyFill="1" applyBorder="1">
      <alignment/>
      <protection/>
    </xf>
    <xf numFmtId="0" fontId="9" fillId="10" borderId="12" xfId="72" applyFont="1" applyFill="1" applyBorder="1">
      <alignment/>
      <protection/>
    </xf>
    <xf numFmtId="0" fontId="9" fillId="36" borderId="12" xfId="72" applyFont="1" applyFill="1" applyBorder="1">
      <alignment/>
      <protection/>
    </xf>
    <xf numFmtId="0" fontId="2" fillId="36" borderId="10" xfId="72" applyFont="1" applyFill="1" applyBorder="1">
      <alignment/>
      <protection/>
    </xf>
    <xf numFmtId="3" fontId="1" fillId="36" borderId="0" xfId="72" applyNumberFormat="1" applyFill="1" applyBorder="1">
      <alignment/>
      <protection/>
    </xf>
    <xf numFmtId="3" fontId="1" fillId="38" borderId="18" xfId="72" applyNumberFormat="1" applyFill="1" applyBorder="1">
      <alignment/>
      <protection/>
    </xf>
    <xf numFmtId="0" fontId="5" fillId="39" borderId="19" xfId="0" applyFont="1" applyFill="1" applyBorder="1" applyAlignment="1">
      <alignment horizontal="left" vertical="center" wrapText="1"/>
    </xf>
    <xf numFmtId="0" fontId="10" fillId="36" borderId="12" xfId="72" applyFont="1" applyFill="1" applyBorder="1">
      <alignment/>
      <protection/>
    </xf>
    <xf numFmtId="0" fontId="11" fillId="36" borderId="12" xfId="72" applyFont="1" applyFill="1" applyBorder="1">
      <alignment/>
      <protection/>
    </xf>
    <xf numFmtId="0" fontId="10" fillId="38" borderId="12" xfId="72" applyFont="1" applyFill="1" applyBorder="1">
      <alignment/>
      <protection/>
    </xf>
    <xf numFmtId="0" fontId="10" fillId="36" borderId="0" xfId="72" applyFont="1" applyFill="1">
      <alignment/>
      <protection/>
    </xf>
    <xf numFmtId="0" fontId="78" fillId="40" borderId="20" xfId="0" applyFont="1" applyFill="1" applyBorder="1" applyAlignment="1">
      <alignment horizontal="left" vertical="center" wrapText="1"/>
    </xf>
    <xf numFmtId="0" fontId="6" fillId="40" borderId="21" xfId="0" applyFont="1" applyFill="1" applyBorder="1" applyAlignment="1">
      <alignment horizontal="center" vertical="center" wrapText="1"/>
    </xf>
    <xf numFmtId="0" fontId="78" fillId="40" borderId="0" xfId="0" applyFont="1" applyFill="1" applyBorder="1" applyAlignment="1">
      <alignment horizontal="left" vertical="center" wrapText="1"/>
    </xf>
    <xf numFmtId="0" fontId="6" fillId="40" borderId="12" xfId="0" applyFont="1" applyFill="1" applyBorder="1" applyAlignment="1">
      <alignment horizontal="center" vertical="center" wrapText="1"/>
    </xf>
    <xf numFmtId="0" fontId="78" fillId="40" borderId="22" xfId="0" applyFont="1" applyFill="1" applyBorder="1" applyAlignment="1">
      <alignment horizontal="left" vertical="center"/>
    </xf>
    <xf numFmtId="0" fontId="2" fillId="20" borderId="23" xfId="72" applyFont="1" applyFill="1" applyBorder="1">
      <alignment/>
      <protection/>
    </xf>
    <xf numFmtId="0" fontId="7" fillId="39" borderId="12" xfId="0" applyFont="1" applyFill="1" applyBorder="1" applyAlignment="1">
      <alignment horizontal="left" vertical="center" wrapText="1"/>
    </xf>
    <xf numFmtId="3" fontId="8" fillId="41" borderId="13" xfId="0" applyNumberFormat="1" applyFont="1" applyFill="1" applyBorder="1" applyAlignment="1">
      <alignment wrapText="1"/>
    </xf>
    <xf numFmtId="0" fontId="1" fillId="41" borderId="13" xfId="72" applyFill="1" applyBorder="1">
      <alignment/>
      <protection/>
    </xf>
    <xf numFmtId="3" fontId="1" fillId="41" borderId="13" xfId="72" applyNumberFormat="1" applyFill="1" applyBorder="1">
      <alignment/>
      <protection/>
    </xf>
    <xf numFmtId="3" fontId="1" fillId="42" borderId="13" xfId="72" applyNumberFormat="1" applyFill="1" applyBorder="1">
      <alignment/>
      <protection/>
    </xf>
    <xf numFmtId="0" fontId="1" fillId="0" borderId="24" xfId="72" applyBorder="1">
      <alignment/>
      <protection/>
    </xf>
    <xf numFmtId="0" fontId="1" fillId="33" borderId="24" xfId="72" applyFill="1" applyBorder="1">
      <alignment/>
      <protection/>
    </xf>
    <xf numFmtId="0" fontId="2" fillId="36" borderId="12" xfId="72" applyFont="1" applyFill="1" applyBorder="1">
      <alignment/>
      <protection/>
    </xf>
    <xf numFmtId="0" fontId="75" fillId="10" borderId="0" xfId="72" applyFont="1" applyFill="1" applyBorder="1">
      <alignment/>
      <protection/>
    </xf>
    <xf numFmtId="3" fontId="75" fillId="10" borderId="0" xfId="72" applyNumberFormat="1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0" fillId="0" borderId="12" xfId="0" applyBorder="1" applyAlignment="1">
      <alignment/>
    </xf>
    <xf numFmtId="0" fontId="14" fillId="10" borderId="25" xfId="0" applyFont="1" applyFill="1" applyBorder="1" applyAlignment="1">
      <alignment wrapText="1"/>
    </xf>
    <xf numFmtId="0" fontId="0" fillId="10" borderId="25" xfId="0" applyFill="1" applyBorder="1" applyAlignment="1">
      <alignment/>
    </xf>
    <xf numFmtId="0" fontId="0" fillId="10" borderId="26" xfId="0" applyFill="1" applyBorder="1" applyAlignment="1">
      <alignment/>
    </xf>
    <xf numFmtId="0" fontId="0" fillId="10" borderId="16" xfId="0" applyFill="1" applyBorder="1" applyAlignment="1">
      <alignment/>
    </xf>
    <xf numFmtId="2" fontId="1" fillId="0" borderId="0" xfId="72" applyNumberFormat="1">
      <alignment/>
      <protection/>
    </xf>
    <xf numFmtId="0" fontId="0" fillId="10" borderId="12" xfId="0" applyFill="1" applyBorder="1" applyAlignment="1">
      <alignment/>
    </xf>
    <xf numFmtId="0" fontId="14" fillId="10" borderId="12" xfId="0" applyFont="1" applyFill="1" applyBorder="1" applyAlignment="1">
      <alignment/>
    </xf>
    <xf numFmtId="0" fontId="14" fillId="43" borderId="12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9" fontId="0" fillId="0" borderId="12" xfId="0" applyNumberFormat="1" applyBorder="1" applyAlignment="1">
      <alignment/>
    </xf>
    <xf numFmtId="0" fontId="79" fillId="0" borderId="12" xfId="0" applyFont="1" applyBorder="1" applyAlignment="1">
      <alignment/>
    </xf>
    <xf numFmtId="0" fontId="80" fillId="43" borderId="27" xfId="0" applyFont="1" applyFill="1" applyBorder="1" applyAlignment="1">
      <alignment/>
    </xf>
    <xf numFmtId="0" fontId="80" fillId="43" borderId="13" xfId="0" applyFont="1" applyFill="1" applyBorder="1" applyAlignment="1">
      <alignment/>
    </xf>
    <xf numFmtId="0" fontId="80" fillId="43" borderId="24" xfId="0" applyFont="1" applyFill="1" applyBorder="1" applyAlignment="1">
      <alignment/>
    </xf>
    <xf numFmtId="0" fontId="80" fillId="43" borderId="28" xfId="0" applyFont="1" applyFill="1" applyBorder="1" applyAlignment="1">
      <alignment/>
    </xf>
    <xf numFmtId="0" fontId="80" fillId="43" borderId="29" xfId="0" applyFont="1" applyFill="1" applyBorder="1" applyAlignment="1">
      <alignment/>
    </xf>
    <xf numFmtId="0" fontId="80" fillId="43" borderId="18" xfId="0" applyFont="1" applyFill="1" applyBorder="1" applyAlignment="1">
      <alignment/>
    </xf>
    <xf numFmtId="0" fontId="80" fillId="43" borderId="30" xfId="0" applyFont="1" applyFill="1" applyBorder="1" applyAlignment="1">
      <alignment/>
    </xf>
    <xf numFmtId="0" fontId="80" fillId="43" borderId="15" xfId="0" applyFont="1" applyFill="1" applyBorder="1" applyAlignment="1">
      <alignment/>
    </xf>
    <xf numFmtId="0" fontId="80" fillId="43" borderId="31" xfId="0" applyFont="1" applyFill="1" applyBorder="1" applyAlignment="1">
      <alignment/>
    </xf>
    <xf numFmtId="0" fontId="80" fillId="43" borderId="14" xfId="0" applyFont="1" applyFill="1" applyBorder="1" applyAlignment="1">
      <alignment/>
    </xf>
    <xf numFmtId="0" fontId="80" fillId="43" borderId="12" xfId="0" applyFont="1" applyFill="1" applyBorder="1" applyAlignment="1">
      <alignment/>
    </xf>
    <xf numFmtId="0" fontId="80" fillId="20" borderId="25" xfId="0" applyFont="1" applyFill="1" applyBorder="1" applyAlignment="1">
      <alignment/>
    </xf>
    <xf numFmtId="0" fontId="80" fillId="20" borderId="26" xfId="0" applyFont="1" applyFill="1" applyBorder="1" applyAlignment="1">
      <alignment/>
    </xf>
    <xf numFmtId="0" fontId="80" fillId="20" borderId="15" xfId="0" applyFont="1" applyFill="1" applyBorder="1" applyAlignment="1">
      <alignment/>
    </xf>
    <xf numFmtId="0" fontId="81" fillId="20" borderId="15" xfId="0" applyFont="1" applyFill="1" applyBorder="1" applyAlignment="1">
      <alignment/>
    </xf>
    <xf numFmtId="0" fontId="81" fillId="20" borderId="31" xfId="0" applyFont="1" applyFill="1" applyBorder="1" applyAlignment="1">
      <alignment/>
    </xf>
    <xf numFmtId="0" fontId="0" fillId="20" borderId="26" xfId="0" applyFill="1" applyBorder="1" applyAlignment="1">
      <alignment/>
    </xf>
    <xf numFmtId="0" fontId="0" fillId="20" borderId="16" xfId="0" applyFill="1" applyBorder="1" applyAlignment="1">
      <alignment/>
    </xf>
    <xf numFmtId="0" fontId="82" fillId="20" borderId="26" xfId="0" applyFont="1" applyFill="1" applyBorder="1" applyAlignment="1">
      <alignment/>
    </xf>
    <xf numFmtId="0" fontId="82" fillId="20" borderId="16" xfId="0" applyFont="1" applyFill="1" applyBorder="1" applyAlignment="1">
      <alignment/>
    </xf>
    <xf numFmtId="0" fontId="83" fillId="35" borderId="0" xfId="0" applyFont="1" applyFill="1" applyAlignment="1">
      <alignment/>
    </xf>
    <xf numFmtId="0" fontId="0" fillId="0" borderId="12" xfId="0" applyFont="1" applyFill="1" applyBorder="1" applyAlignment="1">
      <alignment horizontal="left" vertical="center"/>
    </xf>
    <xf numFmtId="0" fontId="15" fillId="0" borderId="12" xfId="72" applyFont="1" applyBorder="1">
      <alignment/>
      <protection/>
    </xf>
    <xf numFmtId="0" fontId="0" fillId="0" borderId="14" xfId="0" applyFill="1" applyBorder="1" applyAlignment="1">
      <alignment horizontal="left" vertical="center" wrapText="1"/>
    </xf>
    <xf numFmtId="0" fontId="15" fillId="0" borderId="28" xfId="72" applyFont="1" applyBorder="1">
      <alignment/>
      <protection/>
    </xf>
    <xf numFmtId="0" fontId="59" fillId="20" borderId="25" xfId="72" applyFont="1" applyFill="1" applyBorder="1">
      <alignment/>
      <protection/>
    </xf>
    <xf numFmtId="2" fontId="1" fillId="0" borderId="12" xfId="72" applyNumberFormat="1" applyBorder="1">
      <alignment/>
      <protection/>
    </xf>
    <xf numFmtId="2" fontId="75" fillId="0" borderId="12" xfId="72" applyNumberFormat="1" applyFont="1" applyBorder="1">
      <alignment/>
      <protection/>
    </xf>
    <xf numFmtId="0" fontId="84" fillId="10" borderId="12" xfId="72" applyFont="1" applyFill="1" applyBorder="1">
      <alignment/>
      <protection/>
    </xf>
    <xf numFmtId="0" fontId="1" fillId="0" borderId="12" xfId="72" applyBorder="1" applyAlignment="1">
      <alignment wrapText="1"/>
      <protection/>
    </xf>
    <xf numFmtId="10" fontId="10" fillId="10" borderId="12" xfId="72" applyNumberFormat="1" applyFont="1" applyFill="1" applyBorder="1">
      <alignment/>
      <protection/>
    </xf>
    <xf numFmtId="0" fontId="10" fillId="10" borderId="25" xfId="72" applyFont="1" applyFill="1" applyBorder="1">
      <alignment/>
      <protection/>
    </xf>
    <xf numFmtId="10" fontId="10" fillId="10" borderId="25" xfId="72" applyNumberFormat="1" applyFont="1" applyFill="1" applyBorder="1">
      <alignment/>
      <protection/>
    </xf>
    <xf numFmtId="0" fontId="10" fillId="10" borderId="16" xfId="72" applyFont="1" applyFill="1" applyBorder="1">
      <alignment/>
      <protection/>
    </xf>
    <xf numFmtId="10" fontId="10" fillId="10" borderId="16" xfId="72" applyNumberFormat="1" applyFont="1" applyFill="1" applyBorder="1">
      <alignment/>
      <protection/>
    </xf>
    <xf numFmtId="0" fontId="1" fillId="37" borderId="14" xfId="72" applyFill="1" applyBorder="1">
      <alignment/>
      <protection/>
    </xf>
    <xf numFmtId="0" fontId="10" fillId="10" borderId="13" xfId="72" applyFont="1" applyFill="1" applyBorder="1">
      <alignment/>
      <protection/>
    </xf>
    <xf numFmtId="10" fontId="10" fillId="10" borderId="14" xfId="72" applyNumberFormat="1" applyFont="1" applyFill="1" applyBorder="1">
      <alignment/>
      <protection/>
    </xf>
    <xf numFmtId="0" fontId="1" fillId="7" borderId="14" xfId="72" applyFill="1" applyBorder="1">
      <alignment/>
      <protection/>
    </xf>
    <xf numFmtId="10" fontId="75" fillId="10" borderId="12" xfId="72" applyNumberFormat="1" applyFont="1" applyFill="1" applyBorder="1">
      <alignment/>
      <protection/>
    </xf>
    <xf numFmtId="10" fontId="84" fillId="10" borderId="12" xfId="72" applyNumberFormat="1" applyFont="1" applyFill="1" applyBorder="1">
      <alignment/>
      <protection/>
    </xf>
    <xf numFmtId="3" fontId="1" fillId="38" borderId="12" xfId="72" applyNumberFormat="1" applyFill="1" applyBorder="1">
      <alignment/>
      <protection/>
    </xf>
    <xf numFmtId="0" fontId="80" fillId="20" borderId="25" xfId="0" applyFont="1" applyFill="1" applyBorder="1" applyAlignment="1">
      <alignment wrapText="1"/>
    </xf>
    <xf numFmtId="0" fontId="80" fillId="20" borderId="16" xfId="0" applyFont="1" applyFill="1" applyBorder="1" applyAlignment="1">
      <alignment/>
    </xf>
    <xf numFmtId="0" fontId="80" fillId="40" borderId="25" xfId="0" applyFont="1" applyFill="1" applyBorder="1" applyAlignment="1">
      <alignment horizontal="left" vertical="center"/>
    </xf>
    <xf numFmtId="0" fontId="85" fillId="35" borderId="0" xfId="0" applyFont="1" applyFill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1" fillId="35" borderId="12" xfId="72" applyFill="1" applyBorder="1">
      <alignment/>
      <protection/>
    </xf>
    <xf numFmtId="0" fontId="15" fillId="35" borderId="12" xfId="72" applyFont="1" applyFill="1" applyBorder="1">
      <alignment/>
      <protection/>
    </xf>
    <xf numFmtId="0" fontId="0" fillId="35" borderId="12" xfId="0" applyFont="1" applyFill="1" applyBorder="1" applyAlignment="1">
      <alignment/>
    </xf>
    <xf numFmtId="10" fontId="15" fillId="35" borderId="12" xfId="72" applyNumberFormat="1" applyFont="1" applyFill="1" applyBorder="1">
      <alignment/>
      <protection/>
    </xf>
    <xf numFmtId="0" fontId="1" fillId="35" borderId="25" xfId="72" applyFill="1" applyBorder="1">
      <alignment/>
      <protection/>
    </xf>
    <xf numFmtId="0" fontId="0" fillId="35" borderId="12" xfId="0" applyFill="1" applyBorder="1" applyAlignment="1">
      <alignment/>
    </xf>
    <xf numFmtId="0" fontId="1" fillId="35" borderId="12" xfId="72" applyFill="1" applyBorder="1" applyAlignment="1">
      <alignment wrapText="1"/>
      <protection/>
    </xf>
    <xf numFmtId="10" fontId="0" fillId="35" borderId="12" xfId="0" applyNumberFormat="1" applyFill="1" applyBorder="1" applyAlignment="1">
      <alignment/>
    </xf>
    <xf numFmtId="0" fontId="1" fillId="35" borderId="12" xfId="72" applyFont="1" applyFill="1" applyBorder="1" applyAlignment="1">
      <alignment wrapText="1"/>
      <protection/>
    </xf>
    <xf numFmtId="0" fontId="0" fillId="35" borderId="26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10" fontId="0" fillId="35" borderId="12" xfId="0" applyNumberFormat="1" applyFont="1" applyFill="1" applyBorder="1" applyAlignment="1">
      <alignment/>
    </xf>
    <xf numFmtId="0" fontId="15" fillId="35" borderId="13" xfId="72" applyFont="1" applyFill="1" applyBorder="1">
      <alignment/>
      <protection/>
    </xf>
    <xf numFmtId="0" fontId="15" fillId="35" borderId="25" xfId="72" applyFont="1" applyFill="1" applyBorder="1">
      <alignment/>
      <protection/>
    </xf>
    <xf numFmtId="0" fontId="15" fillId="35" borderId="14" xfId="72" applyFont="1" applyFill="1" applyBorder="1">
      <alignment/>
      <protection/>
    </xf>
    <xf numFmtId="0" fontId="15" fillId="35" borderId="12" xfId="72" applyFont="1" applyFill="1" applyBorder="1" applyAlignment="1">
      <alignment wrapText="1"/>
      <protection/>
    </xf>
    <xf numFmtId="0" fontId="1" fillId="35" borderId="0" xfId="72" applyFont="1" applyFill="1">
      <alignment/>
      <protection/>
    </xf>
    <xf numFmtId="0" fontId="15" fillId="10" borderId="0" xfId="72" applyFont="1" applyFill="1" applyAlignment="1">
      <alignment wrapText="1"/>
      <protection/>
    </xf>
    <xf numFmtId="0" fontId="85" fillId="0" borderId="0" xfId="0" applyFont="1" applyAlignment="1">
      <alignment/>
    </xf>
    <xf numFmtId="0" fontId="79" fillId="35" borderId="0" xfId="0" applyFont="1" applyFill="1" applyBorder="1" applyAlignment="1">
      <alignment/>
    </xf>
    <xf numFmtId="0" fontId="79" fillId="35" borderId="0" xfId="0" applyFont="1" applyFill="1" applyAlignment="1">
      <alignment/>
    </xf>
    <xf numFmtId="0" fontId="79" fillId="35" borderId="0" xfId="72" applyFont="1" applyFill="1">
      <alignment/>
      <protection/>
    </xf>
    <xf numFmtId="0" fontId="0" fillId="35" borderId="12" xfId="0" applyFill="1" applyBorder="1" applyAlignment="1">
      <alignment wrapText="1"/>
    </xf>
    <xf numFmtId="1" fontId="0" fillId="35" borderId="12" xfId="0" applyNumberFormat="1" applyFill="1" applyBorder="1" applyAlignment="1">
      <alignment/>
    </xf>
    <xf numFmtId="0" fontId="79" fillId="0" borderId="0" xfId="0" applyFont="1" applyAlignment="1">
      <alignment/>
    </xf>
    <xf numFmtId="0" fontId="10" fillId="35" borderId="0" xfId="72" applyFont="1" applyFill="1" applyBorder="1">
      <alignment/>
      <protection/>
    </xf>
    <xf numFmtId="0" fontId="1" fillId="35" borderId="0" xfId="72" applyFill="1" applyBorder="1">
      <alignment/>
      <protection/>
    </xf>
    <xf numFmtId="0" fontId="2" fillId="35" borderId="0" xfId="72" applyFont="1" applyFill="1" applyBorder="1">
      <alignment/>
      <protection/>
    </xf>
    <xf numFmtId="0" fontId="15" fillId="0" borderId="0" xfId="72" applyFont="1" applyBorder="1">
      <alignment/>
      <protection/>
    </xf>
    <xf numFmtId="0" fontId="1" fillId="35" borderId="0" xfId="72" applyFill="1">
      <alignment/>
      <protection/>
    </xf>
    <xf numFmtId="3" fontId="77" fillId="36" borderId="25" xfId="72" applyNumberFormat="1" applyFont="1" applyFill="1" applyBorder="1">
      <alignment/>
      <protection/>
    </xf>
    <xf numFmtId="0" fontId="1" fillId="33" borderId="30" xfId="72" applyFill="1" applyBorder="1">
      <alignment/>
      <protection/>
    </xf>
    <xf numFmtId="0" fontId="1" fillId="0" borderId="25" xfId="72" applyBorder="1">
      <alignment/>
      <protection/>
    </xf>
    <xf numFmtId="0" fontId="10" fillId="36" borderId="25" xfId="72" applyFont="1" applyFill="1" applyBorder="1">
      <alignment/>
      <protection/>
    </xf>
    <xf numFmtId="3" fontId="1" fillId="0" borderId="25" xfId="72" applyNumberFormat="1" applyBorder="1">
      <alignment/>
      <protection/>
    </xf>
    <xf numFmtId="173" fontId="1" fillId="0" borderId="25" xfId="72" applyNumberFormat="1" applyBorder="1">
      <alignment/>
      <protection/>
    </xf>
    <xf numFmtId="2" fontId="1" fillId="0" borderId="25" xfId="72" applyNumberFormat="1" applyBorder="1">
      <alignment/>
      <protection/>
    </xf>
    <xf numFmtId="3" fontId="1" fillId="38" borderId="25" xfId="72" applyNumberFormat="1" applyFill="1" applyBorder="1">
      <alignment/>
      <protection/>
    </xf>
    <xf numFmtId="3" fontId="1" fillId="36" borderId="25" xfId="72" applyNumberFormat="1" applyFill="1" applyBorder="1">
      <alignment/>
      <protection/>
    </xf>
    <xf numFmtId="3" fontId="1" fillId="41" borderId="27" xfId="72" applyNumberFormat="1" applyFill="1" applyBorder="1">
      <alignment/>
      <protection/>
    </xf>
    <xf numFmtId="0" fontId="1" fillId="36" borderId="16" xfId="72" applyFill="1" applyBorder="1">
      <alignment/>
      <protection/>
    </xf>
    <xf numFmtId="0" fontId="10" fillId="35" borderId="12" xfId="72" applyFont="1" applyFill="1" applyBorder="1">
      <alignment/>
      <protection/>
    </xf>
    <xf numFmtId="0" fontId="77" fillId="35" borderId="0" xfId="72" applyFont="1" applyFill="1" applyBorder="1">
      <alignment/>
      <protection/>
    </xf>
    <xf numFmtId="3" fontId="1" fillId="0" borderId="25" xfId="72" applyNumberFormat="1" applyFont="1" applyBorder="1">
      <alignment/>
      <protection/>
    </xf>
    <xf numFmtId="9" fontId="1" fillId="0" borderId="25" xfId="72" applyNumberFormat="1" applyFont="1" applyBorder="1">
      <alignment/>
      <protection/>
    </xf>
    <xf numFmtId="3" fontId="1" fillId="35" borderId="25" xfId="72" applyNumberFormat="1" applyFont="1" applyFill="1" applyBorder="1">
      <alignment/>
      <protection/>
    </xf>
    <xf numFmtId="3" fontId="1" fillId="0" borderId="27" xfId="72" applyNumberFormat="1" applyBorder="1">
      <alignment/>
      <protection/>
    </xf>
    <xf numFmtId="0" fontId="6" fillId="40" borderId="32" xfId="0" applyFont="1" applyFill="1" applyBorder="1" applyAlignment="1">
      <alignment horizontal="center" vertical="center" wrapText="1"/>
    </xf>
    <xf numFmtId="0" fontId="6" fillId="40" borderId="25" xfId="0" applyFont="1" applyFill="1" applyBorder="1" applyAlignment="1">
      <alignment horizontal="center" vertical="center" wrapText="1"/>
    </xf>
    <xf numFmtId="0" fontId="1" fillId="36" borderId="18" xfId="72" applyFill="1" applyBorder="1">
      <alignment/>
      <protection/>
    </xf>
    <xf numFmtId="3" fontId="1" fillId="36" borderId="18" xfId="72" applyNumberFormat="1" applyFill="1" applyBorder="1">
      <alignment/>
      <protection/>
    </xf>
    <xf numFmtId="3" fontId="1" fillId="41" borderId="12" xfId="72" applyNumberFormat="1" applyFill="1" applyBorder="1">
      <alignment/>
      <protection/>
    </xf>
    <xf numFmtId="0" fontId="2" fillId="35" borderId="12" xfId="72" applyFont="1" applyFill="1" applyBorder="1">
      <alignment/>
      <protection/>
    </xf>
    <xf numFmtId="0" fontId="9" fillId="35" borderId="12" xfId="72" applyFont="1" applyFill="1" applyBorder="1">
      <alignment/>
      <protection/>
    </xf>
    <xf numFmtId="0" fontId="1" fillId="33" borderId="25" xfId="72" applyFill="1" applyBorder="1">
      <alignment/>
      <protection/>
    </xf>
    <xf numFmtId="0" fontId="75" fillId="35" borderId="12" xfId="72" applyFont="1" applyFill="1" applyBorder="1">
      <alignment/>
      <protection/>
    </xf>
    <xf numFmtId="3" fontId="1" fillId="35" borderId="12" xfId="72" applyNumberFormat="1" applyFill="1" applyBorder="1">
      <alignment/>
      <protection/>
    </xf>
    <xf numFmtId="3" fontId="1" fillId="35" borderId="25" xfId="72" applyNumberFormat="1" applyFill="1" applyBorder="1">
      <alignment/>
      <protection/>
    </xf>
    <xf numFmtId="0" fontId="84" fillId="35" borderId="12" xfId="72" applyFont="1" applyFill="1" applyBorder="1">
      <alignment/>
      <protection/>
    </xf>
    <xf numFmtId="3" fontId="1" fillId="35" borderId="13" xfId="72" applyNumberFormat="1" applyFont="1" applyFill="1" applyBorder="1">
      <alignment/>
      <protection/>
    </xf>
    <xf numFmtId="3" fontId="75" fillId="35" borderId="12" xfId="72" applyNumberFormat="1" applyFont="1" applyFill="1" applyBorder="1">
      <alignment/>
      <protection/>
    </xf>
    <xf numFmtId="3" fontId="10" fillId="44" borderId="12" xfId="72" applyNumberFormat="1" applyFont="1" applyFill="1" applyBorder="1">
      <alignment/>
      <protection/>
    </xf>
    <xf numFmtId="3" fontId="1" fillId="44" borderId="12" xfId="72" applyNumberFormat="1" applyFill="1" applyBorder="1">
      <alignment/>
      <protection/>
    </xf>
    <xf numFmtId="3" fontId="10" fillId="44" borderId="25" xfId="72" applyNumberFormat="1" applyFont="1" applyFill="1" applyBorder="1">
      <alignment/>
      <protection/>
    </xf>
    <xf numFmtId="3" fontId="10" fillId="35" borderId="12" xfId="72" applyNumberFormat="1" applyFont="1" applyFill="1" applyBorder="1">
      <alignment/>
      <protection/>
    </xf>
    <xf numFmtId="3" fontId="1" fillId="44" borderId="25" xfId="72" applyNumberFormat="1" applyFill="1" applyBorder="1">
      <alignment/>
      <protection/>
    </xf>
    <xf numFmtId="174" fontId="75" fillId="35" borderId="12" xfId="72" applyNumberFormat="1" applyFont="1" applyFill="1" applyBorder="1">
      <alignment/>
      <protection/>
    </xf>
    <xf numFmtId="174" fontId="1" fillId="35" borderId="12" xfId="72" applyNumberFormat="1" applyFill="1" applyBorder="1">
      <alignment/>
      <protection/>
    </xf>
    <xf numFmtId="174" fontId="1" fillId="35" borderId="12" xfId="72" applyNumberFormat="1" applyFont="1" applyFill="1" applyBorder="1">
      <alignment/>
      <protection/>
    </xf>
    <xf numFmtId="174" fontId="10" fillId="35" borderId="12" xfId="72" applyNumberFormat="1" applyFont="1" applyFill="1" applyBorder="1">
      <alignment/>
      <protection/>
    </xf>
    <xf numFmtId="174" fontId="1" fillId="44" borderId="12" xfId="72" applyNumberFormat="1" applyFill="1" applyBorder="1">
      <alignment/>
      <protection/>
    </xf>
    <xf numFmtId="174" fontId="1" fillId="44" borderId="25" xfId="72" applyNumberFormat="1" applyFill="1" applyBorder="1">
      <alignment/>
      <protection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6" fillId="35" borderId="0" xfId="0" applyFont="1" applyFill="1" applyAlignment="1">
      <alignment/>
    </xf>
    <xf numFmtId="0" fontId="87" fillId="35" borderId="0" xfId="0" applyFont="1" applyFill="1" applyAlignment="1">
      <alignment/>
    </xf>
    <xf numFmtId="0" fontId="79" fillId="35" borderId="33" xfId="0" applyFont="1" applyFill="1" applyBorder="1" applyAlignment="1">
      <alignment/>
    </xf>
    <xf numFmtId="1" fontId="0" fillId="35" borderId="0" xfId="0" applyNumberFormat="1" applyFill="1" applyBorder="1" applyAlignment="1">
      <alignment/>
    </xf>
    <xf numFmtId="1" fontId="3" fillId="0" borderId="0" xfId="72" applyNumberFormat="1" applyFont="1">
      <alignment/>
      <protection/>
    </xf>
    <xf numFmtId="10" fontId="0" fillId="35" borderId="0" xfId="0" applyNumberFormat="1" applyFill="1" applyBorder="1" applyAlignment="1">
      <alignment/>
    </xf>
    <xf numFmtId="1" fontId="3" fillId="0" borderId="10" xfId="72" applyNumberFormat="1" applyFont="1" applyBorder="1">
      <alignment/>
      <protection/>
    </xf>
    <xf numFmtId="1" fontId="3" fillId="33" borderId="12" xfId="72" applyNumberFormat="1" applyFont="1" applyFill="1" applyBorder="1">
      <alignment/>
      <protection/>
    </xf>
    <xf numFmtId="0" fontId="1" fillId="0" borderId="0" xfId="72" applyFont="1" applyBorder="1" applyAlignment="1">
      <alignment vertical="top" wrapText="1"/>
      <protection/>
    </xf>
    <xf numFmtId="1" fontId="1" fillId="0" borderId="0" xfId="72" applyNumberFormat="1" applyFont="1" applyBorder="1" applyAlignment="1">
      <alignment horizontal="left" vertical="top" wrapText="1"/>
      <protection/>
    </xf>
    <xf numFmtId="0" fontId="88" fillId="0" borderId="0" xfId="0" applyFont="1" applyAlignment="1">
      <alignment/>
    </xf>
    <xf numFmtId="2" fontId="88" fillId="0" borderId="0" xfId="0" applyNumberFormat="1" applyFont="1" applyAlignment="1">
      <alignment/>
    </xf>
    <xf numFmtId="1" fontId="1" fillId="0" borderId="10" xfId="72" applyNumberFormat="1" applyBorder="1">
      <alignment/>
      <protection/>
    </xf>
    <xf numFmtId="1" fontId="1" fillId="33" borderId="12" xfId="72" applyNumberFormat="1" applyFill="1" applyBorder="1">
      <alignment/>
      <protection/>
    </xf>
    <xf numFmtId="0" fontId="89" fillId="0" borderId="0" xfId="0" applyFont="1" applyAlignment="1">
      <alignment/>
    </xf>
    <xf numFmtId="0" fontId="0" fillId="35" borderId="0" xfId="0" applyFill="1" applyAlignment="1">
      <alignment/>
    </xf>
    <xf numFmtId="0" fontId="48" fillId="35" borderId="0" xfId="0" applyFont="1" applyFill="1" applyAlignment="1">
      <alignment/>
    </xf>
    <xf numFmtId="0" fontId="0" fillId="35" borderId="0" xfId="0" applyFill="1" applyBorder="1" applyAlignment="1">
      <alignment/>
    </xf>
    <xf numFmtId="0" fontId="0" fillId="45" borderId="12" xfId="0" applyFill="1" applyBorder="1" applyAlignment="1">
      <alignment/>
    </xf>
    <xf numFmtId="0" fontId="0" fillId="45" borderId="12" xfId="0" applyFill="1" applyBorder="1" applyAlignment="1">
      <alignment horizontal="left" indent="1"/>
    </xf>
    <xf numFmtId="0" fontId="0" fillId="45" borderId="14" xfId="0" applyFill="1" applyBorder="1" applyAlignment="1">
      <alignment/>
    </xf>
    <xf numFmtId="0" fontId="14" fillId="45" borderId="12" xfId="0" applyFont="1" applyFill="1" applyBorder="1" applyAlignment="1">
      <alignment/>
    </xf>
    <xf numFmtId="0" fontId="0" fillId="46" borderId="12" xfId="0" applyFill="1" applyBorder="1" applyAlignment="1">
      <alignment/>
    </xf>
    <xf numFmtId="0" fontId="0" fillId="45" borderId="12" xfId="0" applyFill="1" applyBorder="1" applyAlignment="1">
      <alignment horizontal="left" indent="2"/>
    </xf>
    <xf numFmtId="0" fontId="14" fillId="46" borderId="12" xfId="0" applyFont="1" applyFill="1" applyBorder="1" applyAlignment="1">
      <alignment/>
    </xf>
    <xf numFmtId="0" fontId="0" fillId="46" borderId="12" xfId="0" applyFill="1" applyBorder="1" applyAlignment="1">
      <alignment horizontal="left" indent="1"/>
    </xf>
    <xf numFmtId="1" fontId="0" fillId="45" borderId="12" xfId="0" applyNumberFormat="1" applyFill="1" applyBorder="1" applyAlignment="1">
      <alignment/>
    </xf>
    <xf numFmtId="1" fontId="14" fillId="46" borderId="12" xfId="0" applyNumberFormat="1" applyFont="1" applyFill="1" applyBorder="1" applyAlignment="1">
      <alignment/>
    </xf>
    <xf numFmtId="0" fontId="90" fillId="0" borderId="0" xfId="0" applyFont="1" applyAlignment="1">
      <alignment/>
    </xf>
    <xf numFmtId="3" fontId="91" fillId="35" borderId="12" xfId="0" applyNumberFormat="1" applyFont="1" applyFill="1" applyBorder="1" applyAlignment="1">
      <alignment horizontal="center"/>
    </xf>
    <xf numFmtId="3" fontId="92" fillId="35" borderId="12" xfId="0" applyNumberFormat="1" applyFont="1" applyFill="1" applyBorder="1" applyAlignment="1">
      <alignment horizontal="center"/>
    </xf>
    <xf numFmtId="3" fontId="18" fillId="0" borderId="12" xfId="61" applyNumberFormat="1" applyFont="1" applyBorder="1" applyAlignment="1">
      <alignment/>
      <protection/>
    </xf>
    <xf numFmtId="3" fontId="18" fillId="0" borderId="12" xfId="60" applyNumberFormat="1" applyFont="1" applyBorder="1" applyAlignment="1">
      <alignment horizontal="right" wrapText="1"/>
      <protection/>
    </xf>
    <xf numFmtId="3" fontId="18" fillId="0" borderId="12" xfId="60" applyNumberFormat="1" applyFont="1" applyBorder="1" applyAlignment="1">
      <alignment/>
      <protection/>
    </xf>
    <xf numFmtId="3" fontId="92" fillId="41" borderId="12" xfId="0" applyNumberFormat="1" applyFont="1" applyFill="1" applyBorder="1" applyAlignment="1">
      <alignment/>
    </xf>
    <xf numFmtId="3" fontId="92" fillId="0" borderId="12" xfId="0" applyNumberFormat="1" applyFont="1" applyBorder="1" applyAlignment="1">
      <alignment/>
    </xf>
    <xf numFmtId="3" fontId="92" fillId="35" borderId="12" xfId="0" applyNumberFormat="1" applyFont="1" applyFill="1" applyBorder="1" applyAlignment="1">
      <alignment/>
    </xf>
    <xf numFmtId="3" fontId="92" fillId="46" borderId="12" xfId="0" applyNumberFormat="1" applyFont="1" applyFill="1" applyBorder="1" applyAlignment="1">
      <alignment/>
    </xf>
    <xf numFmtId="0" fontId="11" fillId="35" borderId="12" xfId="0" applyFont="1" applyFill="1" applyBorder="1" applyAlignment="1">
      <alignment/>
    </xf>
    <xf numFmtId="0" fontId="10" fillId="35" borderId="12" xfId="0" applyFont="1" applyFill="1" applyBorder="1" applyAlignment="1">
      <alignment horizontal="left" indent="1"/>
    </xf>
    <xf numFmtId="0" fontId="10" fillId="35" borderId="12" xfId="0" applyFont="1" applyFill="1" applyBorder="1" applyAlignment="1">
      <alignment/>
    </xf>
    <xf numFmtId="9" fontId="10" fillId="35" borderId="12" xfId="0" applyNumberFormat="1" applyFont="1" applyFill="1" applyBorder="1" applyAlignment="1">
      <alignment/>
    </xf>
    <xf numFmtId="0" fontId="59" fillId="35" borderId="12" xfId="0" applyFont="1" applyFill="1" applyBorder="1" applyAlignment="1">
      <alignment/>
    </xf>
    <xf numFmtId="0" fontId="11" fillId="47" borderId="12" xfId="0" applyFont="1" applyFill="1" applyBorder="1" applyAlignment="1">
      <alignment horizontal="left" vertical="center"/>
    </xf>
    <xf numFmtId="0" fontId="10" fillId="35" borderId="12" xfId="0" applyFont="1" applyFill="1" applyBorder="1" applyAlignment="1">
      <alignment horizontal="left" vertical="center" wrapText="1" indent="1"/>
    </xf>
    <xf numFmtId="0" fontId="1" fillId="35" borderId="12" xfId="72" applyFont="1" applyFill="1" applyBorder="1" applyAlignment="1">
      <alignment horizontal="left" indent="1"/>
      <protection/>
    </xf>
    <xf numFmtId="1" fontId="10" fillId="35" borderId="12" xfId="0" applyNumberFormat="1" applyFont="1" applyFill="1" applyBorder="1" applyAlignment="1">
      <alignment/>
    </xf>
    <xf numFmtId="0" fontId="2" fillId="35" borderId="12" xfId="72" applyFont="1" applyFill="1" applyBorder="1" applyAlignment="1">
      <alignment horizontal="left"/>
      <protection/>
    </xf>
    <xf numFmtId="0" fontId="1" fillId="35" borderId="12" xfId="72" applyFont="1" applyFill="1" applyBorder="1">
      <alignment/>
      <protection/>
    </xf>
    <xf numFmtId="0" fontId="11" fillId="35" borderId="12" xfId="0" applyFont="1" applyFill="1" applyBorder="1" applyAlignment="1">
      <alignment wrapText="1"/>
    </xf>
    <xf numFmtId="0" fontId="67" fillId="35" borderId="12" xfId="0" applyFont="1" applyFill="1" applyBorder="1" applyAlignment="1">
      <alignment/>
    </xf>
    <xf numFmtId="10" fontId="10" fillId="35" borderId="12" xfId="0" applyNumberFormat="1" applyFont="1" applyFill="1" applyBorder="1" applyAlignment="1">
      <alignment/>
    </xf>
    <xf numFmtId="0" fontId="1" fillId="35" borderId="12" xfId="72" applyFont="1" applyFill="1" applyBorder="1" applyAlignment="1">
      <alignment wrapText="1"/>
      <protection/>
    </xf>
    <xf numFmtId="0" fontId="10" fillId="35" borderId="12" xfId="0" applyFont="1" applyFill="1" applyBorder="1" applyAlignment="1">
      <alignment horizontal="left" wrapText="1" indent="1"/>
    </xf>
    <xf numFmtId="0" fontId="1" fillId="35" borderId="12" xfId="72" applyFont="1" applyFill="1" applyBorder="1" applyAlignment="1">
      <alignment horizontal="left" wrapText="1" indent="1"/>
      <protection/>
    </xf>
    <xf numFmtId="9" fontId="1" fillId="35" borderId="12" xfId="72" applyNumberFormat="1" applyFont="1" applyFill="1" applyBorder="1">
      <alignment/>
      <protection/>
    </xf>
    <xf numFmtId="0" fontId="10" fillId="48" borderId="12" xfId="0" applyFont="1" applyFill="1" applyBorder="1" applyAlignment="1">
      <alignment/>
    </xf>
    <xf numFmtId="0" fontId="93" fillId="35" borderId="0" xfId="0" applyFont="1" applyFill="1" applyBorder="1" applyAlignment="1">
      <alignment/>
    </xf>
    <xf numFmtId="0" fontId="16" fillId="35" borderId="0" xfId="0" applyFont="1" applyFill="1" applyBorder="1" applyAlignment="1">
      <alignment/>
    </xf>
    <xf numFmtId="0" fontId="48" fillId="35" borderId="0" xfId="0" applyFont="1" applyFill="1" applyBorder="1" applyAlignment="1">
      <alignment/>
    </xf>
    <xf numFmtId="2" fontId="10" fillId="35" borderId="12" xfId="0" applyNumberFormat="1" applyFont="1" applyFill="1" applyBorder="1" applyAlignment="1">
      <alignment/>
    </xf>
    <xf numFmtId="0" fontId="82" fillId="35" borderId="0" xfId="0" applyFont="1" applyFill="1" applyAlignment="1">
      <alignment/>
    </xf>
    <xf numFmtId="2" fontId="82" fillId="35" borderId="0" xfId="0" applyNumberFormat="1" applyFont="1" applyFill="1" applyAlignment="1">
      <alignment/>
    </xf>
    <xf numFmtId="1" fontId="0" fillId="45" borderId="14" xfId="0" applyNumberFormat="1" applyFill="1" applyBorder="1" applyAlignment="1">
      <alignment/>
    </xf>
    <xf numFmtId="1" fontId="0" fillId="46" borderId="14" xfId="0" applyNumberFormat="1" applyFill="1" applyBorder="1" applyAlignment="1">
      <alignment/>
    </xf>
    <xf numFmtId="1" fontId="0" fillId="46" borderId="12" xfId="0" applyNumberFormat="1" applyFill="1" applyBorder="1" applyAlignment="1">
      <alignment/>
    </xf>
    <xf numFmtId="0" fontId="94" fillId="46" borderId="12" xfId="0" applyFont="1" applyFill="1" applyBorder="1" applyAlignment="1">
      <alignment/>
    </xf>
    <xf numFmtId="1" fontId="94" fillId="46" borderId="14" xfId="0" applyNumberFormat="1" applyFont="1" applyFill="1" applyBorder="1" applyAlignment="1">
      <alignment/>
    </xf>
    <xf numFmtId="1" fontId="14" fillId="45" borderId="12" xfId="0" applyNumberFormat="1" applyFont="1" applyFill="1" applyBorder="1" applyAlignment="1">
      <alignment/>
    </xf>
    <xf numFmtId="10" fontId="0" fillId="45" borderId="0" xfId="0" applyNumberFormat="1" applyFill="1" applyBorder="1" applyAlignment="1">
      <alignment/>
    </xf>
    <xf numFmtId="0" fontId="14" fillId="45" borderId="0" xfId="0" applyFont="1" applyFill="1" applyBorder="1" applyAlignment="1">
      <alignment/>
    </xf>
    <xf numFmtId="0" fontId="14" fillId="36" borderId="34" xfId="0" applyFont="1" applyFill="1" applyBorder="1" applyAlignment="1">
      <alignment/>
    </xf>
    <xf numFmtId="0" fontId="10" fillId="36" borderId="12" xfId="0" applyFont="1" applyFill="1" applyBorder="1" applyAlignment="1">
      <alignment/>
    </xf>
    <xf numFmtId="1" fontId="10" fillId="36" borderId="12" xfId="0" applyNumberFormat="1" applyFont="1" applyFill="1" applyBorder="1" applyAlignment="1">
      <alignment/>
    </xf>
    <xf numFmtId="0" fontId="14" fillId="36" borderId="35" xfId="0" applyFont="1" applyFill="1" applyBorder="1" applyAlignment="1">
      <alignment/>
    </xf>
    <xf numFmtId="0" fontId="14" fillId="36" borderId="36" xfId="0" applyFont="1" applyFill="1" applyBorder="1" applyAlignment="1">
      <alignment/>
    </xf>
    <xf numFmtId="0" fontId="95" fillId="35" borderId="0" xfId="0" applyFont="1" applyFill="1" applyAlignment="1">
      <alignment/>
    </xf>
    <xf numFmtId="0" fontId="0" fillId="45" borderId="12" xfId="0" applyFill="1" applyBorder="1" applyAlignment="1">
      <alignment horizontal="left" indent="3"/>
    </xf>
    <xf numFmtId="174" fontId="0" fillId="35" borderId="12" xfId="66" applyNumberFormat="1" applyFont="1" applyFill="1" applyBorder="1" applyAlignment="1">
      <alignment/>
    </xf>
    <xf numFmtId="10" fontId="0" fillId="0" borderId="0" xfId="66" applyNumberFormat="1" applyFont="1" applyAlignment="1">
      <alignment/>
    </xf>
    <xf numFmtId="1" fontId="0" fillId="0" borderId="0" xfId="0" applyNumberFormat="1" applyAlignment="1">
      <alignment/>
    </xf>
    <xf numFmtId="1" fontId="0" fillId="36" borderId="12" xfId="0" applyNumberFormat="1" applyFill="1" applyBorder="1" applyAlignment="1">
      <alignment/>
    </xf>
    <xf numFmtId="3" fontId="18" fillId="0" borderId="12" xfId="0" applyNumberFormat="1" applyFont="1" applyBorder="1" applyAlignment="1">
      <alignment/>
    </xf>
    <xf numFmtId="3" fontId="92" fillId="41" borderId="12" xfId="0" applyNumberFormat="1" applyFont="1" applyFill="1" applyBorder="1" applyAlignment="1">
      <alignment/>
    </xf>
    <xf numFmtId="3" fontId="91" fillId="46" borderId="12" xfId="0" applyNumberFormat="1" applyFont="1" applyFill="1" applyBorder="1" applyAlignment="1">
      <alignment/>
    </xf>
    <xf numFmtId="3" fontId="91" fillId="49" borderId="12" xfId="0" applyNumberFormat="1" applyFont="1" applyFill="1" applyBorder="1" applyAlignment="1">
      <alignment/>
    </xf>
    <xf numFmtId="3" fontId="54" fillId="49" borderId="12" xfId="0" applyNumberFormat="1" applyFont="1" applyFill="1" applyBorder="1" applyAlignment="1">
      <alignment/>
    </xf>
    <xf numFmtId="3" fontId="91" fillId="36" borderId="12" xfId="0" applyNumberFormat="1" applyFont="1" applyFill="1" applyBorder="1" applyAlignment="1">
      <alignment horizontal="center"/>
    </xf>
    <xf numFmtId="3" fontId="91" fillId="49" borderId="12" xfId="0" applyNumberFormat="1" applyFont="1" applyFill="1" applyBorder="1" applyAlignment="1">
      <alignment horizontal="right"/>
    </xf>
    <xf numFmtId="3" fontId="92" fillId="35" borderId="12" xfId="0" applyNumberFormat="1" applyFont="1" applyFill="1" applyBorder="1" applyAlignment="1">
      <alignment horizontal="right"/>
    </xf>
    <xf numFmtId="0" fontId="96" fillId="35" borderId="12" xfId="0" applyFont="1" applyFill="1" applyBorder="1" applyAlignment="1">
      <alignment horizontal="right"/>
    </xf>
    <xf numFmtId="0" fontId="91" fillId="36" borderId="12" xfId="0" applyFont="1" applyFill="1" applyBorder="1" applyAlignment="1">
      <alignment horizontal="center"/>
    </xf>
    <xf numFmtId="0" fontId="92" fillId="35" borderId="12" xfId="0" applyFont="1" applyFill="1" applyBorder="1" applyAlignment="1">
      <alignment horizontal="right"/>
    </xf>
    <xf numFmtId="0" fontId="19" fillId="0" borderId="12" xfId="59" applyFont="1" applyBorder="1" applyAlignment="1">
      <alignment horizontal="right" wrapText="1"/>
      <protection/>
    </xf>
    <xf numFmtId="0" fontId="19" fillId="0" borderId="12" xfId="59" applyFont="1" applyBorder="1" applyAlignment="1">
      <alignment horizontal="right"/>
      <protection/>
    </xf>
    <xf numFmtId="0" fontId="96" fillId="0" borderId="12" xfId="0" applyFont="1" applyBorder="1" applyAlignment="1">
      <alignment horizontal="right"/>
    </xf>
    <xf numFmtId="0" fontId="96" fillId="0" borderId="12" xfId="0" applyFont="1" applyBorder="1" applyAlignment="1">
      <alignment horizontal="right" wrapText="1"/>
    </xf>
    <xf numFmtId="0" fontId="92" fillId="41" borderId="12" xfId="0" applyFont="1" applyFill="1" applyBorder="1" applyAlignment="1">
      <alignment/>
    </xf>
    <xf numFmtId="0" fontId="91" fillId="46" borderId="12" xfId="0" applyFont="1" applyFill="1" applyBorder="1" applyAlignment="1">
      <alignment/>
    </xf>
    <xf numFmtId="0" fontId="18" fillId="0" borderId="0" xfId="0" applyFont="1" applyAlignment="1">
      <alignment/>
    </xf>
    <xf numFmtId="0" fontId="6" fillId="40" borderId="37" xfId="0" applyFont="1" applyFill="1" applyBorder="1" applyAlignment="1">
      <alignment horizontal="center" vertical="center" wrapText="1"/>
    </xf>
    <xf numFmtId="0" fontId="6" fillId="40" borderId="19" xfId="0" applyFont="1" applyFill="1" applyBorder="1" applyAlignment="1">
      <alignment horizontal="center" vertical="center" wrapText="1"/>
    </xf>
    <xf numFmtId="0" fontId="97" fillId="0" borderId="0" xfId="72" applyFont="1" applyBorder="1" applyAlignment="1">
      <alignment horizontal="center" vertical="center" wrapText="1"/>
      <protection/>
    </xf>
    <xf numFmtId="0" fontId="1" fillId="33" borderId="0" xfId="72" applyFont="1" applyFill="1" applyBorder="1" applyAlignment="1">
      <alignment horizontal="center" wrapText="1"/>
      <protection/>
    </xf>
    <xf numFmtId="0" fontId="1" fillId="33" borderId="15" xfId="72" applyFont="1" applyFill="1" applyBorder="1" applyAlignment="1">
      <alignment horizontal="center" wrapText="1"/>
      <protection/>
    </xf>
    <xf numFmtId="0" fontId="77" fillId="0" borderId="0" xfId="72" applyFont="1" applyFill="1" applyBorder="1" applyAlignment="1">
      <alignment horizontal="center"/>
      <protection/>
    </xf>
    <xf numFmtId="0" fontId="77" fillId="0" borderId="0" xfId="72" applyFont="1" applyBorder="1" applyAlignment="1">
      <alignment horizontal="center"/>
      <protection/>
    </xf>
    <xf numFmtId="0" fontId="1" fillId="0" borderId="24" xfId="72" applyFont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1" fillId="0" borderId="0" xfId="72" applyFont="1" applyBorder="1" applyAlignment="1">
      <alignment horizontal="center" vertical="top" wrapText="1"/>
      <protection/>
    </xf>
    <xf numFmtId="0" fontId="6" fillId="40" borderId="21" xfId="0" applyFont="1" applyFill="1" applyBorder="1" applyAlignment="1">
      <alignment horizontal="center" vertical="center" wrapText="1"/>
    </xf>
    <xf numFmtId="0" fontId="6" fillId="40" borderId="12" xfId="0" applyFont="1" applyFill="1" applyBorder="1" applyAlignment="1">
      <alignment horizontal="center" vertical="center" wrapText="1"/>
    </xf>
    <xf numFmtId="0" fontId="6" fillId="40" borderId="38" xfId="0" applyFont="1" applyFill="1" applyBorder="1" applyAlignment="1">
      <alignment horizontal="center" vertical="center" wrapText="1"/>
    </xf>
    <xf numFmtId="0" fontId="6" fillId="40" borderId="39" xfId="0" applyFont="1" applyFill="1" applyBorder="1" applyAlignment="1">
      <alignment horizontal="center" vertical="center" wrapText="1"/>
    </xf>
    <xf numFmtId="0" fontId="6" fillId="40" borderId="29" xfId="0" applyFont="1" applyFill="1" applyBorder="1" applyAlignment="1">
      <alignment horizontal="center" vertical="center" wrapText="1"/>
    </xf>
    <xf numFmtId="0" fontId="6" fillId="40" borderId="30" xfId="0" applyFont="1" applyFill="1" applyBorder="1" applyAlignment="1">
      <alignment horizontal="center" vertical="center" wrapText="1"/>
    </xf>
    <xf numFmtId="0" fontId="1" fillId="0" borderId="0" xfId="72" applyAlignment="1">
      <alignment horizontal="left" wrapText="1"/>
      <protection/>
    </xf>
    <xf numFmtId="0" fontId="1" fillId="0" borderId="0" xfId="72" applyAlignment="1">
      <alignment horizontal="left"/>
      <protection/>
    </xf>
    <xf numFmtId="0" fontId="6" fillId="40" borderId="40" xfId="0" applyFont="1" applyFill="1" applyBorder="1" applyAlignment="1">
      <alignment horizontal="center" vertical="center" wrapText="1"/>
    </xf>
    <xf numFmtId="0" fontId="6" fillId="40" borderId="16" xfId="0" applyFont="1" applyFill="1" applyBorder="1" applyAlignment="1">
      <alignment horizontal="center" vertical="center" wrapText="1"/>
    </xf>
    <xf numFmtId="0" fontId="6" fillId="40" borderId="41" xfId="0" applyFont="1" applyFill="1" applyBorder="1" applyAlignment="1">
      <alignment horizontal="center" vertical="center" wrapText="1"/>
    </xf>
    <xf numFmtId="0" fontId="6" fillId="40" borderId="14" xfId="0" applyFont="1" applyFill="1" applyBorder="1" applyAlignment="1">
      <alignment horizontal="center" vertical="center" wrapText="1"/>
    </xf>
    <xf numFmtId="0" fontId="6" fillId="40" borderId="13" xfId="0" applyFont="1" applyFill="1" applyBorder="1" applyAlignment="1">
      <alignment horizontal="center" vertical="center" wrapText="1"/>
    </xf>
    <xf numFmtId="0" fontId="14" fillId="36" borderId="42" xfId="0" applyFont="1" applyFill="1" applyBorder="1" applyAlignment="1">
      <alignment horizontal="center"/>
    </xf>
    <xf numFmtId="0" fontId="14" fillId="36" borderId="35" xfId="0" applyFont="1" applyFill="1" applyBorder="1" applyAlignment="1">
      <alignment horizontal="center"/>
    </xf>
    <xf numFmtId="0" fontId="14" fillId="36" borderId="36" xfId="0" applyFont="1" applyFill="1" applyBorder="1" applyAlignment="1">
      <alignment horizontal="center"/>
    </xf>
    <xf numFmtId="0" fontId="98" fillId="35" borderId="20" xfId="0" applyFont="1" applyFill="1" applyBorder="1" applyAlignment="1">
      <alignment horizontal="left"/>
    </xf>
    <xf numFmtId="0" fontId="98" fillId="35" borderId="0" xfId="0" applyFont="1" applyFill="1" applyBorder="1" applyAlignment="1">
      <alignment horizontal="left"/>
    </xf>
    <xf numFmtId="0" fontId="98" fillId="35" borderId="43" xfId="0" applyFont="1" applyFill="1" applyBorder="1" applyAlignment="1">
      <alignment horizontal="left"/>
    </xf>
    <xf numFmtId="0" fontId="98" fillId="35" borderId="44" xfId="0" applyFont="1" applyFill="1" applyBorder="1" applyAlignment="1">
      <alignment horizontal="left"/>
    </xf>
    <xf numFmtId="3" fontId="98" fillId="35" borderId="45" xfId="0" applyNumberFormat="1" applyFont="1" applyFill="1" applyBorder="1" applyAlignment="1">
      <alignment horizontal="center"/>
    </xf>
    <xf numFmtId="3" fontId="98" fillId="35" borderId="46" xfId="0" applyNumberFormat="1" applyFont="1" applyFill="1" applyBorder="1" applyAlignment="1">
      <alignment horizontal="center"/>
    </xf>
    <xf numFmtId="0" fontId="92" fillId="35" borderId="12" xfId="0" applyFont="1" applyFill="1" applyBorder="1" applyAlignment="1">
      <alignment horizontal="center"/>
    </xf>
    <xf numFmtId="0" fontId="91" fillId="49" borderId="12" xfId="0" applyFont="1" applyFill="1" applyBorder="1" applyAlignment="1">
      <alignment horizontal="left"/>
    </xf>
    <xf numFmtId="0" fontId="54" fillId="49" borderId="12" xfId="0" applyFont="1" applyFill="1" applyBorder="1" applyAlignment="1">
      <alignment horizontal="left"/>
    </xf>
    <xf numFmtId="0" fontId="91" fillId="0" borderId="0" xfId="0" applyFont="1" applyAlignment="1">
      <alignment horizontal="center"/>
    </xf>
    <xf numFmtId="0" fontId="99" fillId="46" borderId="12" xfId="0" applyFont="1" applyFill="1" applyBorder="1" applyAlignment="1">
      <alignment horizontal="center"/>
    </xf>
    <xf numFmtId="0" fontId="0" fillId="50" borderId="0" xfId="0" applyFill="1" applyAlignment="1">
      <alignment/>
    </xf>
    <xf numFmtId="0" fontId="0" fillId="50" borderId="14" xfId="0" applyFill="1" applyBorder="1" applyAlignment="1">
      <alignment/>
    </xf>
    <xf numFmtId="1" fontId="94" fillId="50" borderId="14" xfId="0" applyNumberFormat="1" applyFont="1" applyFill="1" applyBorder="1" applyAlignment="1">
      <alignment/>
    </xf>
    <xf numFmtId="1" fontId="0" fillId="50" borderId="14" xfId="0" applyNumberFormat="1" applyFill="1" applyBorder="1" applyAlignment="1">
      <alignment/>
    </xf>
    <xf numFmtId="1" fontId="0" fillId="50" borderId="12" xfId="0" applyNumberFormat="1" applyFill="1" applyBorder="1" applyAlignment="1">
      <alignment/>
    </xf>
    <xf numFmtId="1" fontId="14" fillId="50" borderId="12" xfId="0" applyNumberFormat="1" applyFont="1" applyFill="1" applyBorder="1" applyAlignment="1">
      <alignment/>
    </xf>
    <xf numFmtId="10" fontId="0" fillId="50" borderId="0" xfId="0" applyNumberFormat="1" applyFill="1" applyBorder="1" applyAlignment="1">
      <alignment/>
    </xf>
    <xf numFmtId="10" fontId="0" fillId="50" borderId="0" xfId="66" applyNumberFormat="1" applyFont="1" applyFill="1" applyAlignment="1">
      <alignment/>
    </xf>
    <xf numFmtId="1" fontId="0" fillId="50" borderId="0" xfId="0" applyNumberFormat="1" applyFill="1" applyAlignment="1">
      <alignment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2" xfId="56"/>
    <cellStyle name="Обычный 3" xfId="57"/>
    <cellStyle name="Обычный 4" xfId="58"/>
    <cellStyle name="Обычный 5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Followed Hyperlink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  <cellStyle name="Excel Built-in Norm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2695575</xdr:colOff>
      <xdr:row>4</xdr:row>
      <xdr:rowOff>104775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95575" cy="752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2705100</xdr:colOff>
      <xdr:row>4</xdr:row>
      <xdr:rowOff>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05100" cy="762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2628900</xdr:colOff>
      <xdr:row>3</xdr:row>
      <xdr:rowOff>47625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24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95"/>
  <sheetViews>
    <sheetView workbookViewId="0" topLeftCell="A7">
      <selection activeCell="A72" sqref="A72"/>
    </sheetView>
  </sheetViews>
  <sheetFormatPr defaultColWidth="8.8515625" defaultRowHeight="12.75"/>
  <cols>
    <col min="1" max="1" width="50.421875" style="0" customWidth="1"/>
    <col min="2" max="2" width="14.421875" style="0" customWidth="1"/>
    <col min="3" max="3" width="13.140625" style="0" customWidth="1"/>
    <col min="4" max="4" width="11.7109375" style="0" customWidth="1"/>
    <col min="5" max="5" width="14.28125" style="0" customWidth="1"/>
    <col min="6" max="6" width="9.421875" style="0" bestFit="1" customWidth="1"/>
  </cols>
  <sheetData>
    <row r="7" ht="16.5">
      <c r="A7" s="145" t="s">
        <v>108</v>
      </c>
    </row>
    <row r="8" ht="12">
      <c r="A8" s="111"/>
    </row>
    <row r="9" spans="1:6" ht="12">
      <c r="A9" s="246" t="s">
        <v>137</v>
      </c>
      <c r="B9" s="247"/>
      <c r="C9" s="247"/>
      <c r="D9" s="247"/>
      <c r="E9" s="247"/>
      <c r="F9" s="247"/>
    </row>
    <row r="10" spans="1:12" ht="24">
      <c r="A10" s="113" t="s">
        <v>109</v>
      </c>
      <c r="B10" s="114" t="s">
        <v>184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6"/>
    </row>
    <row r="11" spans="1:12" ht="12">
      <c r="A11" s="113" t="s">
        <v>110</v>
      </c>
      <c r="B11" s="114">
        <v>493000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6"/>
    </row>
    <row r="12" spans="1:12" ht="12">
      <c r="A12" s="113" t="s">
        <v>112</v>
      </c>
      <c r="B12" s="114"/>
      <c r="C12" s="115"/>
      <c r="D12" s="115"/>
      <c r="E12" s="115"/>
      <c r="F12" s="115"/>
      <c r="G12" s="115"/>
      <c r="H12" s="115"/>
      <c r="I12" s="115"/>
      <c r="J12" s="115"/>
      <c r="K12" s="115"/>
      <c r="L12" s="116"/>
    </row>
    <row r="13" spans="1:12" ht="12">
      <c r="A13" s="113" t="s">
        <v>111</v>
      </c>
      <c r="B13" s="114"/>
      <c r="C13" s="115"/>
      <c r="D13" s="115"/>
      <c r="E13" s="115"/>
      <c r="F13" s="115"/>
      <c r="G13" s="115"/>
      <c r="H13" s="115"/>
      <c r="I13" s="115"/>
      <c r="J13" s="115"/>
      <c r="K13" s="115"/>
      <c r="L13" s="116"/>
    </row>
    <row r="14" spans="1:12" ht="12">
      <c r="A14" s="113"/>
      <c r="B14" s="114"/>
      <c r="C14" s="115"/>
      <c r="D14" s="115"/>
      <c r="E14" s="115"/>
      <c r="F14" s="115"/>
      <c r="G14" s="115"/>
      <c r="H14" s="115"/>
      <c r="I14" s="115"/>
      <c r="J14" s="115"/>
      <c r="K14" s="115"/>
      <c r="L14" s="116"/>
    </row>
    <row r="15" spans="1:12" ht="24">
      <c r="A15" s="113" t="s">
        <v>135</v>
      </c>
      <c r="B15" s="114"/>
      <c r="C15" s="115"/>
      <c r="D15" s="115"/>
      <c r="E15" s="115"/>
      <c r="F15" s="115"/>
      <c r="G15" s="115"/>
      <c r="H15" s="115"/>
      <c r="I15" s="115"/>
      <c r="J15" s="115"/>
      <c r="K15" s="115"/>
      <c r="L15" s="116"/>
    </row>
    <row r="16" spans="1:12" ht="12">
      <c r="A16" s="113" t="s">
        <v>136</v>
      </c>
      <c r="B16" s="114"/>
      <c r="C16" s="115"/>
      <c r="D16" s="115"/>
      <c r="E16" s="115"/>
      <c r="F16" s="115"/>
      <c r="G16" s="115"/>
      <c r="H16" s="115"/>
      <c r="I16" s="115"/>
      <c r="J16" s="115"/>
      <c r="K16" s="115"/>
      <c r="L16" s="116"/>
    </row>
    <row r="18" spans="1:4" ht="12">
      <c r="A18" s="246" t="s">
        <v>158</v>
      </c>
      <c r="B18" s="247"/>
      <c r="C18" s="247"/>
      <c r="D18" s="247"/>
    </row>
    <row r="19" ht="12">
      <c r="A19" s="111"/>
    </row>
    <row r="20" spans="1:2" ht="12">
      <c r="A20" s="120" t="s">
        <v>116</v>
      </c>
      <c r="B20" s="120" t="s">
        <v>119</v>
      </c>
    </row>
    <row r="21" spans="1:2" ht="12">
      <c r="A21" s="119" t="s">
        <v>117</v>
      </c>
      <c r="B21" s="118"/>
    </row>
    <row r="22" spans="1:2" ht="12">
      <c r="A22" s="118" t="s">
        <v>114</v>
      </c>
      <c r="B22" s="118">
        <v>28</v>
      </c>
    </row>
    <row r="23" spans="1:2" ht="12">
      <c r="A23" s="118" t="s">
        <v>113</v>
      </c>
      <c r="B23" s="118">
        <v>20</v>
      </c>
    </row>
    <row r="24" spans="1:2" ht="12">
      <c r="A24" s="118" t="s">
        <v>115</v>
      </c>
      <c r="B24" s="118">
        <v>1550</v>
      </c>
    </row>
    <row r="25" spans="1:2" ht="12">
      <c r="A25" s="119" t="s">
        <v>118</v>
      </c>
      <c r="B25" s="118"/>
    </row>
    <row r="26" spans="1:2" ht="24">
      <c r="A26" s="191" t="s">
        <v>157</v>
      </c>
      <c r="B26" s="118">
        <v>1500</v>
      </c>
    </row>
    <row r="27" spans="1:2" ht="12">
      <c r="A27" s="120" t="s">
        <v>120</v>
      </c>
      <c r="B27" s="120" t="s">
        <v>119</v>
      </c>
    </row>
    <row r="28" spans="1:2" ht="12">
      <c r="A28" s="118" t="s">
        <v>121</v>
      </c>
      <c r="B28" s="118">
        <v>0</v>
      </c>
    </row>
    <row r="29" spans="1:2" ht="12">
      <c r="A29" s="118"/>
      <c r="B29" s="118"/>
    </row>
    <row r="30" spans="1:2" ht="12">
      <c r="A30" s="118"/>
      <c r="B30" s="118"/>
    </row>
    <row r="31" spans="1:7" ht="12">
      <c r="A31" s="202"/>
      <c r="B31" s="172"/>
      <c r="C31" s="173"/>
      <c r="D31" s="173"/>
      <c r="E31" s="173"/>
      <c r="F31" s="173"/>
      <c r="G31" s="173"/>
    </row>
    <row r="32" spans="1:7" ht="13.5">
      <c r="A32" s="190"/>
      <c r="B32" s="173"/>
      <c r="C32" s="173"/>
      <c r="D32" s="173"/>
      <c r="E32" s="173"/>
      <c r="F32" s="173"/>
      <c r="G32" s="173"/>
    </row>
    <row r="33" spans="1:3" ht="12">
      <c r="A33" s="248" t="s">
        <v>156</v>
      </c>
      <c r="B33" s="248"/>
      <c r="C33" s="249"/>
    </row>
    <row r="35" spans="1:5" ht="12">
      <c r="A35" s="125" t="s">
        <v>123</v>
      </c>
      <c r="B35" s="126" t="s">
        <v>119</v>
      </c>
      <c r="C35" s="125" t="s">
        <v>134</v>
      </c>
      <c r="D35" s="127"/>
      <c r="E35" s="128"/>
    </row>
    <row r="36" spans="1:5" ht="12">
      <c r="A36" s="129"/>
      <c r="B36" s="130"/>
      <c r="C36" s="131" t="s">
        <v>125</v>
      </c>
      <c r="D36" s="132"/>
      <c r="E36" s="133"/>
    </row>
    <row r="37" spans="1:15" ht="12">
      <c r="A37" s="129"/>
      <c r="B37" s="134" t="s">
        <v>128</v>
      </c>
      <c r="C37" s="135" t="s">
        <v>124</v>
      </c>
      <c r="D37" s="135" t="s">
        <v>126</v>
      </c>
      <c r="E37" s="135" t="s">
        <v>127</v>
      </c>
      <c r="F37" s="250"/>
      <c r="G37" s="198"/>
      <c r="H37" s="198"/>
      <c r="I37" s="198"/>
      <c r="J37" s="198"/>
      <c r="K37" s="198"/>
      <c r="L37" s="198"/>
      <c r="M37" s="198"/>
      <c r="N37" s="198"/>
      <c r="O37" s="198"/>
    </row>
    <row r="38" spans="1:15" ht="12">
      <c r="A38" s="136" t="s">
        <v>0</v>
      </c>
      <c r="B38" s="137"/>
      <c r="C38" s="138"/>
      <c r="D38" s="139"/>
      <c r="E38" s="140"/>
      <c r="F38" s="198"/>
      <c r="G38" s="198"/>
      <c r="H38" s="198"/>
      <c r="I38" s="198"/>
      <c r="J38" s="198"/>
      <c r="K38" s="198"/>
      <c r="L38" s="198"/>
      <c r="M38" s="198"/>
      <c r="N38" s="198"/>
      <c r="O38" s="198"/>
    </row>
    <row r="39" spans="1:15" ht="12">
      <c r="A39" s="121" t="s">
        <v>132</v>
      </c>
      <c r="B39" s="121"/>
      <c r="C39" s="112">
        <v>1</v>
      </c>
      <c r="D39" s="121"/>
      <c r="E39" s="121"/>
      <c r="F39" s="198" t="s">
        <v>163</v>
      </c>
      <c r="G39" s="198"/>
      <c r="H39" s="198"/>
      <c r="I39" s="198"/>
      <c r="J39" s="198"/>
      <c r="K39" s="198"/>
      <c r="L39" s="198"/>
      <c r="M39" s="198"/>
      <c r="N39" s="198"/>
      <c r="O39" s="198"/>
    </row>
    <row r="40" spans="1:5" ht="12">
      <c r="A40" s="112" t="s">
        <v>129</v>
      </c>
      <c r="B40" s="112">
        <v>1730</v>
      </c>
      <c r="C40" s="112">
        <v>1</v>
      </c>
      <c r="D40" s="112"/>
      <c r="E40" s="112"/>
    </row>
    <row r="41" spans="1:5" ht="12">
      <c r="A41" s="112" t="s">
        <v>130</v>
      </c>
      <c r="B41" s="123">
        <v>0.45</v>
      </c>
      <c r="C41" s="112">
        <v>1</v>
      </c>
      <c r="D41" s="112"/>
      <c r="E41" s="112"/>
    </row>
    <row r="42" spans="1:16" ht="12">
      <c r="A42" s="112" t="s">
        <v>131</v>
      </c>
      <c r="B42" s="124"/>
      <c r="C42" s="112">
        <v>1</v>
      </c>
      <c r="D42" s="112"/>
      <c r="E42" s="112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</row>
    <row r="43" spans="1:16" ht="12">
      <c r="A43" s="122" t="s">
        <v>133</v>
      </c>
      <c r="B43" s="122"/>
      <c r="C43" s="112">
        <v>1</v>
      </c>
      <c r="D43" s="122"/>
      <c r="E43" s="122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</row>
    <row r="44" spans="1:16" ht="12">
      <c r="A44" s="136" t="s">
        <v>3</v>
      </c>
      <c r="B44" s="143"/>
      <c r="C44" s="143"/>
      <c r="D44" s="143"/>
      <c r="E44" s="144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</row>
    <row r="45" spans="1:16" ht="12">
      <c r="A45" s="121" t="s">
        <v>132</v>
      </c>
      <c r="B45" s="121"/>
      <c r="C45" s="121">
        <v>1</v>
      </c>
      <c r="D45" s="121"/>
      <c r="E45" s="121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</row>
    <row r="46" spans="1:5" ht="12">
      <c r="A46" s="112" t="s">
        <v>129</v>
      </c>
      <c r="B46" s="112">
        <v>2220</v>
      </c>
      <c r="C46" s="112">
        <v>1</v>
      </c>
      <c r="D46" s="112"/>
      <c r="E46" s="112"/>
    </row>
    <row r="47" spans="1:5" ht="12">
      <c r="A47" s="112" t="s">
        <v>130</v>
      </c>
      <c r="B47" s="123">
        <v>0.4</v>
      </c>
      <c r="C47" s="112">
        <v>1</v>
      </c>
      <c r="D47" s="112"/>
      <c r="E47" s="112"/>
    </row>
    <row r="48" spans="1:5" ht="12">
      <c r="A48" s="112" t="s">
        <v>131</v>
      </c>
      <c r="B48" s="112"/>
      <c r="C48" s="112">
        <v>1</v>
      </c>
      <c r="D48" s="112"/>
      <c r="E48" s="112"/>
    </row>
    <row r="49" spans="1:5" ht="12">
      <c r="A49" s="112" t="s">
        <v>133</v>
      </c>
      <c r="B49" s="112"/>
      <c r="C49" s="112">
        <v>1</v>
      </c>
      <c r="D49" s="112"/>
      <c r="E49" s="112"/>
    </row>
    <row r="50" spans="1:5" ht="12">
      <c r="A50" s="136" t="s">
        <v>5</v>
      </c>
      <c r="B50" s="143"/>
      <c r="C50" s="143"/>
      <c r="D50" s="143"/>
      <c r="E50" s="144"/>
    </row>
    <row r="51" spans="1:5" ht="12">
      <c r="A51" s="112" t="s">
        <v>132</v>
      </c>
      <c r="B51" s="112"/>
      <c r="C51" s="121">
        <v>1</v>
      </c>
      <c r="D51" s="112"/>
      <c r="E51" s="112"/>
    </row>
    <row r="52" spans="1:5" ht="12">
      <c r="A52" s="112" t="s">
        <v>129</v>
      </c>
      <c r="B52" s="112">
        <v>9520</v>
      </c>
      <c r="C52" s="112">
        <v>1</v>
      </c>
      <c r="D52" s="112"/>
      <c r="E52" s="112"/>
    </row>
    <row r="53" spans="1:5" ht="12">
      <c r="A53" s="112" t="s">
        <v>130</v>
      </c>
      <c r="B53" s="123">
        <v>0.2</v>
      </c>
      <c r="C53" s="112">
        <v>1</v>
      </c>
      <c r="D53" s="112"/>
      <c r="E53" s="112"/>
    </row>
    <row r="54" spans="1:5" ht="12">
      <c r="A54" s="112" t="s">
        <v>131</v>
      </c>
      <c r="B54" s="112"/>
      <c r="C54" s="112">
        <v>1</v>
      </c>
      <c r="D54" s="112"/>
      <c r="E54" s="112"/>
    </row>
    <row r="55" spans="1:5" ht="12">
      <c r="A55" s="122" t="s">
        <v>133</v>
      </c>
      <c r="B55" s="122"/>
      <c r="C55" s="122">
        <v>1</v>
      </c>
      <c r="D55" s="122"/>
      <c r="E55" s="122"/>
    </row>
    <row r="56" spans="1:5" ht="12">
      <c r="A56" s="169" t="s">
        <v>43</v>
      </c>
      <c r="B56" s="143"/>
      <c r="C56" s="143"/>
      <c r="D56" s="143"/>
      <c r="E56" s="144"/>
    </row>
    <row r="57" spans="1:8" ht="12">
      <c r="A57" s="148" t="s">
        <v>138</v>
      </c>
      <c r="B57" s="112">
        <v>5750</v>
      </c>
      <c r="C57" s="112"/>
      <c r="D57" s="112"/>
      <c r="E57" s="112"/>
      <c r="G57" s="110"/>
      <c r="H57" s="110"/>
    </row>
    <row r="58" spans="1:8" ht="13.5">
      <c r="A58" s="146" t="s">
        <v>44</v>
      </c>
      <c r="B58" s="112">
        <v>39000</v>
      </c>
      <c r="C58" s="112"/>
      <c r="D58" s="112"/>
      <c r="E58" s="112"/>
      <c r="G58" s="7"/>
      <c r="H58" s="110"/>
    </row>
    <row r="59" spans="1:8" ht="13.5">
      <c r="A59" s="147" t="s">
        <v>7</v>
      </c>
      <c r="B59" s="112">
        <v>220000</v>
      </c>
      <c r="C59" s="112"/>
      <c r="D59" s="112"/>
      <c r="E59" s="112"/>
      <c r="G59" s="7"/>
      <c r="H59" s="110"/>
    </row>
    <row r="60" spans="1:8" ht="12">
      <c r="A60" s="147" t="s">
        <v>8</v>
      </c>
      <c r="B60" s="112">
        <v>20000</v>
      </c>
      <c r="C60" s="112"/>
      <c r="D60" s="112"/>
      <c r="E60" s="112"/>
      <c r="G60" s="110"/>
      <c r="H60" s="110"/>
    </row>
    <row r="61" spans="1:8" ht="12">
      <c r="A61" s="147" t="s">
        <v>82</v>
      </c>
      <c r="B61" s="112">
        <v>7000</v>
      </c>
      <c r="C61" s="112"/>
      <c r="D61" s="112"/>
      <c r="E61" s="112"/>
      <c r="G61" s="110"/>
      <c r="H61" s="110"/>
    </row>
    <row r="62" spans="1:5" ht="12">
      <c r="A62" s="149" t="s">
        <v>139</v>
      </c>
      <c r="B62" s="122">
        <v>30000</v>
      </c>
      <c r="C62" s="122"/>
      <c r="D62" s="122"/>
      <c r="E62" s="122"/>
    </row>
    <row r="63" spans="1:5" ht="13.5">
      <c r="A63" s="150" t="s">
        <v>13</v>
      </c>
      <c r="B63" s="141"/>
      <c r="C63" s="141"/>
      <c r="D63" s="141"/>
      <c r="E63" s="142"/>
    </row>
    <row r="64" spans="1:5" ht="12">
      <c r="A64" s="175" t="s">
        <v>15</v>
      </c>
      <c r="B64" s="175">
        <v>390</v>
      </c>
      <c r="C64" s="176"/>
      <c r="D64" s="176"/>
      <c r="E64" s="176"/>
    </row>
    <row r="65" spans="1:5" ht="12">
      <c r="A65" s="175" t="s">
        <v>164</v>
      </c>
      <c r="B65" s="175">
        <v>2000</v>
      </c>
      <c r="C65" s="176"/>
      <c r="D65" s="176"/>
      <c r="E65" s="176"/>
    </row>
    <row r="66" spans="1:5" ht="12">
      <c r="A66" s="175" t="s">
        <v>17</v>
      </c>
      <c r="B66" s="175">
        <v>2000</v>
      </c>
      <c r="C66" s="176"/>
      <c r="D66" s="176"/>
      <c r="E66" s="176"/>
    </row>
    <row r="67" spans="1:5" ht="12">
      <c r="A67" s="175" t="s">
        <v>18</v>
      </c>
      <c r="B67" s="175">
        <v>700</v>
      </c>
      <c r="C67" s="176"/>
      <c r="D67" s="176"/>
      <c r="E67" s="176"/>
    </row>
    <row r="68" spans="1:5" ht="12">
      <c r="A68" s="186" t="s">
        <v>141</v>
      </c>
      <c r="B68" s="177">
        <v>0.02</v>
      </c>
      <c r="C68" s="176"/>
      <c r="D68" s="176"/>
      <c r="E68" s="176"/>
    </row>
    <row r="69" spans="1:5" ht="12">
      <c r="A69" s="187" t="s">
        <v>88</v>
      </c>
      <c r="B69" s="183"/>
      <c r="C69" s="183"/>
      <c r="D69" s="183"/>
      <c r="E69" s="184"/>
    </row>
    <row r="70" spans="1:5" ht="12">
      <c r="A70" s="188" t="s">
        <v>142</v>
      </c>
      <c r="B70" s="176">
        <v>4</v>
      </c>
      <c r="C70" s="176"/>
      <c r="D70" s="176"/>
      <c r="E70" s="176"/>
    </row>
    <row r="71" spans="1:5" ht="24">
      <c r="A71" s="189" t="s">
        <v>145</v>
      </c>
      <c r="B71" s="185">
        <v>0.05</v>
      </c>
      <c r="C71" s="176"/>
      <c r="D71" s="176"/>
      <c r="E71" s="176"/>
    </row>
    <row r="72" spans="1:5" ht="24">
      <c r="A72" s="189" t="s">
        <v>146</v>
      </c>
      <c r="B72" s="185">
        <v>0.02</v>
      </c>
      <c r="C72" s="176"/>
      <c r="D72" s="176"/>
      <c r="E72" s="176"/>
    </row>
    <row r="73" spans="1:5" ht="12">
      <c r="A73" s="175" t="s">
        <v>20</v>
      </c>
      <c r="B73" s="176"/>
      <c r="C73" s="176"/>
      <c r="D73" s="176"/>
      <c r="E73" s="176"/>
    </row>
    <row r="74" spans="1:5" ht="12">
      <c r="A74" s="189" t="s">
        <v>140</v>
      </c>
      <c r="B74" s="176">
        <v>350</v>
      </c>
      <c r="C74" s="176"/>
      <c r="D74" s="176"/>
      <c r="E74" s="176"/>
    </row>
    <row r="75" spans="1:5" ht="24">
      <c r="A75" s="189" t="s">
        <v>172</v>
      </c>
      <c r="B75" s="176">
        <v>8000</v>
      </c>
      <c r="C75" s="176"/>
      <c r="D75" s="176"/>
      <c r="E75" s="176"/>
    </row>
    <row r="76" spans="1:13" ht="12">
      <c r="A76" s="167" t="s">
        <v>153</v>
      </c>
      <c r="B76" s="137"/>
      <c r="C76" s="137"/>
      <c r="D76" s="137"/>
      <c r="E76" s="168"/>
      <c r="F76" s="193" t="s">
        <v>155</v>
      </c>
      <c r="G76" s="193"/>
      <c r="H76" s="194"/>
      <c r="I76" s="194"/>
      <c r="J76" s="194"/>
      <c r="K76" s="194"/>
      <c r="L76" s="194"/>
      <c r="M76" s="194"/>
    </row>
    <row r="77" spans="1:13" ht="12">
      <c r="A77" s="179" t="s">
        <v>147</v>
      </c>
      <c r="B77" s="179">
        <v>2</v>
      </c>
      <c r="C77" s="112">
        <v>1</v>
      </c>
      <c r="D77" s="112">
        <v>1.5</v>
      </c>
      <c r="E77" s="112">
        <v>2</v>
      </c>
      <c r="F77" s="195" t="s">
        <v>152</v>
      </c>
      <c r="G77" s="194"/>
      <c r="H77" s="194"/>
      <c r="I77" s="194"/>
      <c r="J77" s="194"/>
      <c r="K77" s="194"/>
      <c r="L77" s="194"/>
      <c r="M77" s="194"/>
    </row>
    <row r="78" spans="1:12" ht="12">
      <c r="A78" s="179" t="s">
        <v>148</v>
      </c>
      <c r="B78" s="179">
        <v>6000</v>
      </c>
      <c r="C78" s="112"/>
      <c r="D78" s="112"/>
      <c r="E78" s="112"/>
      <c r="F78" s="171"/>
      <c r="G78" s="171"/>
      <c r="H78" s="171"/>
      <c r="I78" s="171"/>
      <c r="J78" s="171"/>
      <c r="K78" s="171"/>
      <c r="L78" s="171"/>
    </row>
    <row r="79" spans="1:5" ht="24">
      <c r="A79" s="196" t="s">
        <v>154</v>
      </c>
      <c r="B79" s="181">
        <v>0.025</v>
      </c>
      <c r="C79" s="112"/>
      <c r="D79" s="112"/>
      <c r="E79" s="112"/>
    </row>
    <row r="80" spans="1:5" ht="13.5">
      <c r="A80" s="174" t="s">
        <v>149</v>
      </c>
      <c r="B80" s="197">
        <v>0</v>
      </c>
      <c r="C80" s="112"/>
      <c r="D80" s="112"/>
      <c r="E80" s="112"/>
    </row>
    <row r="81" spans="1:5" ht="13.5">
      <c r="A81" s="180" t="s">
        <v>151</v>
      </c>
      <c r="B81" s="197">
        <v>0</v>
      </c>
      <c r="C81" s="112"/>
      <c r="D81" s="112"/>
      <c r="E81" s="112"/>
    </row>
    <row r="82" spans="1:5" ht="13.5">
      <c r="A82" s="180" t="s">
        <v>150</v>
      </c>
      <c r="B82" s="197">
        <v>5000</v>
      </c>
      <c r="C82" s="112"/>
      <c r="D82" s="112"/>
      <c r="E82" s="112"/>
    </row>
    <row r="84" ht="15">
      <c r="A84" s="262" t="s">
        <v>167</v>
      </c>
    </row>
    <row r="85" ht="12">
      <c r="A85" t="s">
        <v>173</v>
      </c>
    </row>
    <row r="86" spans="1:2" ht="12">
      <c r="A86" t="s">
        <v>168</v>
      </c>
      <c r="B86" s="251">
        <v>1500</v>
      </c>
    </row>
    <row r="87" spans="1:2" ht="12">
      <c r="A87" t="s">
        <v>169</v>
      </c>
      <c r="B87" s="253">
        <v>0.09</v>
      </c>
    </row>
    <row r="88" spans="1:7" ht="12">
      <c r="A88" t="s">
        <v>181</v>
      </c>
      <c r="B88" s="251">
        <v>50</v>
      </c>
      <c r="F88" s="259">
        <f>B88/30</f>
        <v>1.6666666666666667</v>
      </c>
      <c r="G88" s="258" t="s">
        <v>179</v>
      </c>
    </row>
    <row r="89" spans="1:2" ht="12">
      <c r="A89" t="s">
        <v>174</v>
      </c>
      <c r="B89" s="251"/>
    </row>
    <row r="90" spans="1:7" ht="12">
      <c r="A90" t="s">
        <v>175</v>
      </c>
      <c r="B90" s="251">
        <v>20</v>
      </c>
      <c r="F90" s="259">
        <f>B90/30</f>
        <v>0.6666666666666666</v>
      </c>
      <c r="G90" s="258" t="s">
        <v>178</v>
      </c>
    </row>
    <row r="91" spans="1:6" ht="12">
      <c r="A91" t="s">
        <v>177</v>
      </c>
      <c r="B91" s="251">
        <v>350</v>
      </c>
      <c r="F91" s="258" t="s">
        <v>176</v>
      </c>
    </row>
    <row r="92" ht="12">
      <c r="B92" s="251"/>
    </row>
    <row r="93" spans="1:7" ht="12">
      <c r="A93" s="171"/>
      <c r="B93" s="171"/>
      <c r="C93" s="171"/>
      <c r="D93" s="171"/>
      <c r="E93" s="171"/>
      <c r="F93" s="171"/>
      <c r="G93" s="171"/>
    </row>
    <row r="94" ht="12">
      <c r="A94" s="170" t="s">
        <v>161</v>
      </c>
    </row>
    <row r="95" ht="12">
      <c r="A95" s="192" t="s">
        <v>162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247"/>
  <sheetViews>
    <sheetView workbookViewId="0" topLeftCell="A165">
      <selection activeCell="A185" sqref="A185"/>
    </sheetView>
  </sheetViews>
  <sheetFormatPr defaultColWidth="8.7109375" defaultRowHeight="12.75" outlineLevelRow="1"/>
  <cols>
    <col min="1" max="1" width="44.421875" style="1" customWidth="1"/>
    <col min="2" max="2" width="12.00390625" style="1" customWidth="1"/>
    <col min="3" max="3" width="14.140625" style="1" customWidth="1"/>
    <col min="4" max="4" width="13.7109375" style="1" customWidth="1"/>
    <col min="5" max="7" width="9.421875" style="1" bestFit="1" customWidth="1"/>
    <col min="8" max="8" width="11.140625" style="1" customWidth="1"/>
    <col min="9" max="9" width="10.28125" style="1" customWidth="1"/>
    <col min="10" max="10" width="13.421875" style="2" customWidth="1"/>
    <col min="11" max="11" width="12.8515625" style="1" customWidth="1"/>
    <col min="12" max="12" width="11.7109375" style="1" customWidth="1"/>
    <col min="13" max="13" width="10.8515625" style="1" customWidth="1"/>
    <col min="14" max="15" width="10.421875" style="9" customWidth="1"/>
    <col min="16" max="17" width="9.421875" style="1" bestFit="1" customWidth="1"/>
    <col min="18" max="18" width="10.00390625" style="1" customWidth="1"/>
    <col min="19" max="19" width="11.7109375" style="1" customWidth="1"/>
    <col min="20" max="20" width="12.8515625" style="1" customWidth="1"/>
    <col min="21" max="21" width="10.00390625" style="1" customWidth="1"/>
    <col min="22" max="22" width="11.7109375" style="1" customWidth="1"/>
    <col min="23" max="27" width="8.8515625" style="1" bestFit="1" customWidth="1"/>
    <col min="28" max="28" width="11.421875" style="1" customWidth="1"/>
    <col min="29" max="16384" width="8.7109375" style="1" customWidth="1"/>
  </cols>
  <sheetData>
    <row r="1" spans="2:15" ht="15">
      <c r="B1" s="364" t="s">
        <v>185</v>
      </c>
      <c r="C1" s="365"/>
      <c r="D1" s="365"/>
      <c r="E1" s="365"/>
      <c r="F1" s="365"/>
      <c r="G1" s="365"/>
      <c r="H1" s="365"/>
      <c r="I1" s="365"/>
      <c r="J1" s="365"/>
      <c r="N1" s="34"/>
      <c r="O1" s="34"/>
    </row>
    <row r="2" spans="2:15" ht="15">
      <c r="B2" s="365"/>
      <c r="C2" s="365"/>
      <c r="D2" s="365"/>
      <c r="E2" s="365"/>
      <c r="F2" s="365"/>
      <c r="G2" s="365"/>
      <c r="H2" s="365"/>
      <c r="I2" s="365"/>
      <c r="J2" s="365"/>
      <c r="N2" s="34"/>
      <c r="O2" s="34"/>
    </row>
    <row r="3" spans="2:15" ht="15">
      <c r="B3" s="365"/>
      <c r="C3" s="365"/>
      <c r="D3" s="365"/>
      <c r="E3" s="365"/>
      <c r="F3" s="365"/>
      <c r="G3" s="365"/>
      <c r="H3" s="365"/>
      <c r="I3" s="365"/>
      <c r="J3" s="365"/>
      <c r="N3" s="34"/>
      <c r="O3" s="34"/>
    </row>
    <row r="4" spans="2:15" ht="15">
      <c r="B4" s="365"/>
      <c r="C4" s="365"/>
      <c r="D4" s="365"/>
      <c r="E4" s="365"/>
      <c r="F4" s="365"/>
      <c r="G4" s="365"/>
      <c r="H4" s="365"/>
      <c r="I4" s="365"/>
      <c r="J4" s="365"/>
      <c r="N4" s="34"/>
      <c r="O4" s="34"/>
    </row>
    <row r="5" spans="2:15" ht="15">
      <c r="B5" s="365"/>
      <c r="C5" s="365"/>
      <c r="D5" s="365"/>
      <c r="E5" s="365"/>
      <c r="F5" s="365"/>
      <c r="G5" s="365"/>
      <c r="H5" s="365"/>
      <c r="I5" s="365"/>
      <c r="J5" s="365"/>
      <c r="N5" s="34"/>
      <c r="O5" s="34"/>
    </row>
    <row r="6" spans="1:15" ht="12.75" customHeight="1">
      <c r="A6" s="350" t="s">
        <v>159</v>
      </c>
      <c r="B6" s="350"/>
      <c r="C6" s="350"/>
      <c r="D6" s="350"/>
      <c r="E6" s="350"/>
      <c r="F6" s="350"/>
      <c r="G6" s="350"/>
      <c r="H6" s="350"/>
      <c r="I6" s="350"/>
      <c r="J6" s="350"/>
      <c r="N6" s="351"/>
      <c r="O6" s="8"/>
    </row>
    <row r="7" spans="1:15" ht="15">
      <c r="A7" s="350"/>
      <c r="B7" s="350"/>
      <c r="C7" s="350"/>
      <c r="D7" s="350"/>
      <c r="E7" s="350"/>
      <c r="F7" s="350"/>
      <c r="G7" s="350"/>
      <c r="H7" s="350"/>
      <c r="I7" s="350"/>
      <c r="J7" s="350"/>
      <c r="N7" s="351"/>
      <c r="O7" s="8"/>
    </row>
    <row r="8" spans="1:15" s="31" customFormat="1" ht="15.75" thickBot="1">
      <c r="A8" s="353" t="s">
        <v>0</v>
      </c>
      <c r="B8" s="353"/>
      <c r="C8" s="353"/>
      <c r="D8" s="353"/>
      <c r="E8" s="353"/>
      <c r="F8" s="353"/>
      <c r="G8" s="353"/>
      <c r="J8" s="32"/>
      <c r="N8" s="352"/>
      <c r="O8" s="33"/>
    </row>
    <row r="9" spans="1:28" ht="28.5">
      <c r="A9" s="348" t="s">
        <v>71</v>
      </c>
      <c r="B9" s="358" t="s">
        <v>28</v>
      </c>
      <c r="C9" s="95" t="s">
        <v>29</v>
      </c>
      <c r="D9" s="95" t="s">
        <v>30</v>
      </c>
      <c r="E9" s="95" t="s">
        <v>31</v>
      </c>
      <c r="F9" s="95" t="s">
        <v>32</v>
      </c>
      <c r="G9" s="95" t="s">
        <v>33</v>
      </c>
      <c r="H9" s="95" t="s">
        <v>34</v>
      </c>
      <c r="I9" s="95" t="s">
        <v>35</v>
      </c>
      <c r="J9" s="95" t="s">
        <v>36</v>
      </c>
      <c r="K9" s="95" t="s">
        <v>37</v>
      </c>
      <c r="L9" s="95" t="s">
        <v>38</v>
      </c>
      <c r="M9" s="95" t="s">
        <v>39</v>
      </c>
      <c r="N9" s="95" t="s">
        <v>40</v>
      </c>
      <c r="O9" s="360" t="s">
        <v>51</v>
      </c>
      <c r="P9" s="95" t="s">
        <v>53</v>
      </c>
      <c r="Q9" s="95" t="s">
        <v>54</v>
      </c>
      <c r="R9" s="95" t="s">
        <v>55</v>
      </c>
      <c r="S9" s="95" t="s">
        <v>56</v>
      </c>
      <c r="T9" s="95" t="s">
        <v>57</v>
      </c>
      <c r="U9" s="95" t="s">
        <v>58</v>
      </c>
      <c r="V9" s="95" t="s">
        <v>59</v>
      </c>
      <c r="W9" s="95" t="s">
        <v>60</v>
      </c>
      <c r="X9" s="95" t="s">
        <v>61</v>
      </c>
      <c r="Y9" s="95" t="s">
        <v>62</v>
      </c>
      <c r="Z9" s="95" t="s">
        <v>63</v>
      </c>
      <c r="AA9" s="95" t="s">
        <v>97</v>
      </c>
      <c r="AB9" s="360" t="s">
        <v>51</v>
      </c>
    </row>
    <row r="10" spans="1:29" ht="15">
      <c r="A10" s="349"/>
      <c r="B10" s="359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361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361"/>
      <c r="AC10" s="3"/>
    </row>
    <row r="11" spans="1:28" ht="12.75" customHeight="1" hidden="1" outlineLevel="1">
      <c r="A11" s="355" t="s">
        <v>186</v>
      </c>
      <c r="B11" s="4"/>
      <c r="C11" s="252">
        <f>(пар!B86*пар!B87/3)+пар!B88</f>
        <v>95</v>
      </c>
      <c r="D11" s="1">
        <f>CEILING($C$11*0.3,1)</f>
        <v>29</v>
      </c>
      <c r="E11" s="1">
        <f>CEILING($C$11*0.3,1)</f>
        <v>29</v>
      </c>
      <c r="F11" s="1">
        <f aca="true" t="shared" si="0" ref="F11:AA11">CEILING($C$11*0.3,1)</f>
        <v>29</v>
      </c>
      <c r="G11" s="1">
        <f t="shared" si="0"/>
        <v>29</v>
      </c>
      <c r="H11" s="1">
        <f t="shared" si="0"/>
        <v>29</v>
      </c>
      <c r="I11" s="1">
        <f t="shared" si="0"/>
        <v>29</v>
      </c>
      <c r="J11" s="1">
        <f t="shared" si="0"/>
        <v>29</v>
      </c>
      <c r="K11" s="1">
        <f t="shared" si="0"/>
        <v>29</v>
      </c>
      <c r="L11" s="1">
        <f t="shared" si="0"/>
        <v>29</v>
      </c>
      <c r="M11" s="1">
        <f t="shared" si="0"/>
        <v>29</v>
      </c>
      <c r="N11" s="1">
        <f t="shared" si="0"/>
        <v>29</v>
      </c>
      <c r="O11" s="1">
        <f t="shared" si="0"/>
        <v>29</v>
      </c>
      <c r="P11" s="1">
        <f t="shared" si="0"/>
        <v>29</v>
      </c>
      <c r="Q11" s="1">
        <f t="shared" si="0"/>
        <v>29</v>
      </c>
      <c r="R11" s="1">
        <f t="shared" si="0"/>
        <v>29</v>
      </c>
      <c r="S11" s="1">
        <f t="shared" si="0"/>
        <v>29</v>
      </c>
      <c r="T11" s="1">
        <f t="shared" si="0"/>
        <v>29</v>
      </c>
      <c r="U11" s="1">
        <f t="shared" si="0"/>
        <v>29</v>
      </c>
      <c r="V11" s="1">
        <f t="shared" si="0"/>
        <v>29</v>
      </c>
      <c r="W11" s="1">
        <f t="shared" si="0"/>
        <v>29</v>
      </c>
      <c r="X11" s="1">
        <f t="shared" si="0"/>
        <v>29</v>
      </c>
      <c r="Y11" s="1">
        <f t="shared" si="0"/>
        <v>29</v>
      </c>
      <c r="Z11" s="1">
        <f t="shared" si="0"/>
        <v>29</v>
      </c>
      <c r="AA11" s="1">
        <f t="shared" si="0"/>
        <v>29</v>
      </c>
      <c r="AB11" s="6"/>
    </row>
    <row r="12" spans="1:28" ht="13.5" hidden="1" outlineLevel="1">
      <c r="A12" s="356"/>
      <c r="B12" s="4"/>
      <c r="D12" s="5">
        <f>(пар!B86*пар!B87/3)+пар!B88</f>
        <v>95</v>
      </c>
      <c r="E12" s="1">
        <f>CEILING($D$12*0.3,1)</f>
        <v>29</v>
      </c>
      <c r="F12" s="1">
        <f aca="true" t="shared" si="1" ref="F12:AA12">CEILING($D$12*0.3,1)</f>
        <v>29</v>
      </c>
      <c r="G12" s="1">
        <f t="shared" si="1"/>
        <v>29</v>
      </c>
      <c r="H12" s="1">
        <f t="shared" si="1"/>
        <v>29</v>
      </c>
      <c r="I12" s="1">
        <f t="shared" si="1"/>
        <v>29</v>
      </c>
      <c r="J12" s="1">
        <f t="shared" si="1"/>
        <v>29</v>
      </c>
      <c r="K12" s="1">
        <f t="shared" si="1"/>
        <v>29</v>
      </c>
      <c r="L12" s="1">
        <f t="shared" si="1"/>
        <v>29</v>
      </c>
      <c r="M12" s="1">
        <f t="shared" si="1"/>
        <v>29</v>
      </c>
      <c r="N12" s="1">
        <f t="shared" si="1"/>
        <v>29</v>
      </c>
      <c r="O12" s="1">
        <f t="shared" si="1"/>
        <v>29</v>
      </c>
      <c r="P12" s="1">
        <f t="shared" si="1"/>
        <v>29</v>
      </c>
      <c r="Q12" s="1">
        <f t="shared" si="1"/>
        <v>29</v>
      </c>
      <c r="R12" s="1">
        <f t="shared" si="1"/>
        <v>29</v>
      </c>
      <c r="S12" s="1">
        <f t="shared" si="1"/>
        <v>29</v>
      </c>
      <c r="T12" s="1">
        <f t="shared" si="1"/>
        <v>29</v>
      </c>
      <c r="U12" s="1">
        <f t="shared" si="1"/>
        <v>29</v>
      </c>
      <c r="V12" s="1">
        <f t="shared" si="1"/>
        <v>29</v>
      </c>
      <c r="W12" s="1">
        <f t="shared" si="1"/>
        <v>29</v>
      </c>
      <c r="X12" s="1">
        <f t="shared" si="1"/>
        <v>29</v>
      </c>
      <c r="Y12" s="1">
        <f t="shared" si="1"/>
        <v>29</v>
      </c>
      <c r="Z12" s="1">
        <f t="shared" si="1"/>
        <v>29</v>
      </c>
      <c r="AA12" s="1">
        <f t="shared" si="1"/>
        <v>29</v>
      </c>
      <c r="AB12" s="6"/>
    </row>
    <row r="13" spans="1:28" ht="13.5" hidden="1" outlineLevel="1">
      <c r="A13" s="356"/>
      <c r="B13" s="4"/>
      <c r="C13" s="117"/>
      <c r="E13" s="5">
        <f>(пар!B86*пар!B87/3)+пар!B88</f>
        <v>95</v>
      </c>
      <c r="F13" s="1">
        <f>CEILING($E$13*0.3,1)</f>
        <v>29</v>
      </c>
      <c r="G13" s="1">
        <f aca="true" t="shared" si="2" ref="G13:AA13">CEILING($E$13*0.3,1)</f>
        <v>29</v>
      </c>
      <c r="H13" s="1">
        <f t="shared" si="2"/>
        <v>29</v>
      </c>
      <c r="I13" s="1">
        <f t="shared" si="2"/>
        <v>29</v>
      </c>
      <c r="J13" s="1">
        <f t="shared" si="2"/>
        <v>29</v>
      </c>
      <c r="K13" s="1">
        <f t="shared" si="2"/>
        <v>29</v>
      </c>
      <c r="L13" s="1">
        <f t="shared" si="2"/>
        <v>29</v>
      </c>
      <c r="M13" s="1">
        <f t="shared" si="2"/>
        <v>29</v>
      </c>
      <c r="N13" s="1">
        <f t="shared" si="2"/>
        <v>29</v>
      </c>
      <c r="O13" s="1">
        <f t="shared" si="2"/>
        <v>29</v>
      </c>
      <c r="P13" s="1">
        <f t="shared" si="2"/>
        <v>29</v>
      </c>
      <c r="Q13" s="1">
        <f t="shared" si="2"/>
        <v>29</v>
      </c>
      <c r="R13" s="1">
        <f t="shared" si="2"/>
        <v>29</v>
      </c>
      <c r="S13" s="1">
        <f t="shared" si="2"/>
        <v>29</v>
      </c>
      <c r="T13" s="1">
        <f t="shared" si="2"/>
        <v>29</v>
      </c>
      <c r="U13" s="1">
        <f t="shared" si="2"/>
        <v>29</v>
      </c>
      <c r="V13" s="1">
        <f t="shared" si="2"/>
        <v>29</v>
      </c>
      <c r="W13" s="1">
        <f t="shared" si="2"/>
        <v>29</v>
      </c>
      <c r="X13" s="1">
        <f t="shared" si="2"/>
        <v>29</v>
      </c>
      <c r="Y13" s="1">
        <f t="shared" si="2"/>
        <v>29</v>
      </c>
      <c r="Z13" s="1">
        <f t="shared" si="2"/>
        <v>29</v>
      </c>
      <c r="AA13" s="1">
        <f t="shared" si="2"/>
        <v>29</v>
      </c>
      <c r="AB13" s="6"/>
    </row>
    <row r="14" spans="1:28" ht="13.5" hidden="1" outlineLevel="1">
      <c r="A14" s="356"/>
      <c r="B14" s="4"/>
      <c r="F14" s="252">
        <f>пар!B88</f>
        <v>50</v>
      </c>
      <c r="G14" s="1">
        <f>$F$14*0.3</f>
        <v>15</v>
      </c>
      <c r="H14" s="1">
        <f aca="true" t="shared" si="3" ref="H14:AA14">$F$14*0.3</f>
        <v>15</v>
      </c>
      <c r="I14" s="1">
        <f t="shared" si="3"/>
        <v>15</v>
      </c>
      <c r="J14" s="1">
        <f t="shared" si="3"/>
        <v>15</v>
      </c>
      <c r="K14" s="1">
        <f t="shared" si="3"/>
        <v>15</v>
      </c>
      <c r="L14" s="1">
        <f t="shared" si="3"/>
        <v>15</v>
      </c>
      <c r="M14" s="1">
        <f t="shared" si="3"/>
        <v>15</v>
      </c>
      <c r="N14" s="1">
        <f t="shared" si="3"/>
        <v>15</v>
      </c>
      <c r="O14" s="1">
        <f t="shared" si="3"/>
        <v>15</v>
      </c>
      <c r="P14" s="1">
        <f t="shared" si="3"/>
        <v>15</v>
      </c>
      <c r="Q14" s="1">
        <f t="shared" si="3"/>
        <v>15</v>
      </c>
      <c r="R14" s="1">
        <f t="shared" si="3"/>
        <v>15</v>
      </c>
      <c r="S14" s="1">
        <f t="shared" si="3"/>
        <v>15</v>
      </c>
      <c r="T14" s="1">
        <f t="shared" si="3"/>
        <v>15</v>
      </c>
      <c r="U14" s="1">
        <f t="shared" si="3"/>
        <v>15</v>
      </c>
      <c r="V14" s="1">
        <f t="shared" si="3"/>
        <v>15</v>
      </c>
      <c r="W14" s="1">
        <f t="shared" si="3"/>
        <v>15</v>
      </c>
      <c r="X14" s="1">
        <f t="shared" si="3"/>
        <v>15</v>
      </c>
      <c r="Y14" s="1">
        <f t="shared" si="3"/>
        <v>15</v>
      </c>
      <c r="Z14" s="1">
        <f t="shared" si="3"/>
        <v>15</v>
      </c>
      <c r="AA14" s="1">
        <f t="shared" si="3"/>
        <v>15</v>
      </c>
      <c r="AB14" s="6"/>
    </row>
    <row r="15" spans="1:28" ht="13.5" hidden="1" outlineLevel="1">
      <c r="A15" s="356"/>
      <c r="B15" s="4"/>
      <c r="G15" s="252">
        <f>пар!B88</f>
        <v>50</v>
      </c>
      <c r="H15" s="1">
        <f>$G$15*0.3</f>
        <v>15</v>
      </c>
      <c r="I15" s="1">
        <f aca="true" t="shared" si="4" ref="I15:AA15">$G$15*0.3</f>
        <v>15</v>
      </c>
      <c r="J15" s="1">
        <f t="shared" si="4"/>
        <v>15</v>
      </c>
      <c r="K15" s="1">
        <f t="shared" si="4"/>
        <v>15</v>
      </c>
      <c r="L15" s="1">
        <f t="shared" si="4"/>
        <v>15</v>
      </c>
      <c r="M15" s="1">
        <f t="shared" si="4"/>
        <v>15</v>
      </c>
      <c r="N15" s="1">
        <f t="shared" si="4"/>
        <v>15</v>
      </c>
      <c r="O15" s="1">
        <f t="shared" si="4"/>
        <v>15</v>
      </c>
      <c r="P15" s="1">
        <f t="shared" si="4"/>
        <v>15</v>
      </c>
      <c r="Q15" s="1">
        <f t="shared" si="4"/>
        <v>15</v>
      </c>
      <c r="R15" s="1">
        <f t="shared" si="4"/>
        <v>15</v>
      </c>
      <c r="S15" s="1">
        <f t="shared" si="4"/>
        <v>15</v>
      </c>
      <c r="T15" s="1">
        <f t="shared" si="4"/>
        <v>15</v>
      </c>
      <c r="U15" s="1">
        <f t="shared" si="4"/>
        <v>15</v>
      </c>
      <c r="V15" s="1">
        <f t="shared" si="4"/>
        <v>15</v>
      </c>
      <c r="W15" s="1">
        <f t="shared" si="4"/>
        <v>15</v>
      </c>
      <c r="X15" s="1">
        <f t="shared" si="4"/>
        <v>15</v>
      </c>
      <c r="Y15" s="1">
        <f t="shared" si="4"/>
        <v>15</v>
      </c>
      <c r="Z15" s="1">
        <f t="shared" si="4"/>
        <v>15</v>
      </c>
      <c r="AA15" s="1">
        <f t="shared" si="4"/>
        <v>15</v>
      </c>
      <c r="AB15" s="6"/>
    </row>
    <row r="16" spans="1:28" ht="13.5" hidden="1" outlineLevel="1">
      <c r="A16" s="356"/>
      <c r="B16" s="4"/>
      <c r="H16" s="252">
        <f>пар!B88</f>
        <v>50</v>
      </c>
      <c r="I16" s="1">
        <f>$H$16*0.3</f>
        <v>15</v>
      </c>
      <c r="J16" s="1">
        <f aca="true" t="shared" si="5" ref="J16:AA16">$H$16*0.3</f>
        <v>15</v>
      </c>
      <c r="K16" s="1">
        <f t="shared" si="5"/>
        <v>15</v>
      </c>
      <c r="L16" s="1">
        <f t="shared" si="5"/>
        <v>15</v>
      </c>
      <c r="M16" s="1">
        <f t="shared" si="5"/>
        <v>15</v>
      </c>
      <c r="N16" s="1">
        <f t="shared" si="5"/>
        <v>15</v>
      </c>
      <c r="O16" s="1">
        <f t="shared" si="5"/>
        <v>15</v>
      </c>
      <c r="P16" s="1">
        <f t="shared" si="5"/>
        <v>15</v>
      </c>
      <c r="Q16" s="1">
        <f t="shared" si="5"/>
        <v>15</v>
      </c>
      <c r="R16" s="1">
        <f t="shared" si="5"/>
        <v>15</v>
      </c>
      <c r="S16" s="1">
        <f t="shared" si="5"/>
        <v>15</v>
      </c>
      <c r="T16" s="1">
        <f t="shared" si="5"/>
        <v>15</v>
      </c>
      <c r="U16" s="1">
        <f t="shared" si="5"/>
        <v>15</v>
      </c>
      <c r="V16" s="1">
        <f t="shared" si="5"/>
        <v>15</v>
      </c>
      <c r="W16" s="1">
        <f t="shared" si="5"/>
        <v>15</v>
      </c>
      <c r="X16" s="1">
        <f t="shared" si="5"/>
        <v>15</v>
      </c>
      <c r="Y16" s="1">
        <f t="shared" si="5"/>
        <v>15</v>
      </c>
      <c r="Z16" s="1">
        <f t="shared" si="5"/>
        <v>15</v>
      </c>
      <c r="AA16" s="1">
        <f t="shared" si="5"/>
        <v>15</v>
      </c>
      <c r="AB16" s="6"/>
    </row>
    <row r="17" spans="1:28" ht="13.5" hidden="1" outlineLevel="1">
      <c r="A17" s="356"/>
      <c r="B17" s="4"/>
      <c r="I17" s="252">
        <f>пар!B88</f>
        <v>50</v>
      </c>
      <c r="J17" s="2">
        <f>$I$17*0.3</f>
        <v>15</v>
      </c>
      <c r="K17" s="2">
        <f aca="true" t="shared" si="6" ref="K17:AA17">$I$17*0.3</f>
        <v>15</v>
      </c>
      <c r="L17" s="2">
        <f t="shared" si="6"/>
        <v>15</v>
      </c>
      <c r="M17" s="2">
        <f t="shared" si="6"/>
        <v>15</v>
      </c>
      <c r="N17" s="2">
        <f t="shared" si="6"/>
        <v>15</v>
      </c>
      <c r="O17" s="2">
        <f t="shared" si="6"/>
        <v>15</v>
      </c>
      <c r="P17" s="2">
        <f t="shared" si="6"/>
        <v>15</v>
      </c>
      <c r="Q17" s="2">
        <f t="shared" si="6"/>
        <v>15</v>
      </c>
      <c r="R17" s="2">
        <f t="shared" si="6"/>
        <v>15</v>
      </c>
      <c r="S17" s="2">
        <f t="shared" si="6"/>
        <v>15</v>
      </c>
      <c r="T17" s="2">
        <f t="shared" si="6"/>
        <v>15</v>
      </c>
      <c r="U17" s="2">
        <f t="shared" si="6"/>
        <v>15</v>
      </c>
      <c r="V17" s="2">
        <f t="shared" si="6"/>
        <v>15</v>
      </c>
      <c r="W17" s="2">
        <f t="shared" si="6"/>
        <v>15</v>
      </c>
      <c r="X17" s="2">
        <f t="shared" si="6"/>
        <v>15</v>
      </c>
      <c r="Y17" s="2">
        <f t="shared" si="6"/>
        <v>15</v>
      </c>
      <c r="Z17" s="2">
        <f t="shared" si="6"/>
        <v>15</v>
      </c>
      <c r="AA17" s="2">
        <f t="shared" si="6"/>
        <v>15</v>
      </c>
      <c r="AB17" s="6"/>
    </row>
    <row r="18" spans="1:28" ht="13.5" hidden="1" outlineLevel="1">
      <c r="A18" s="356"/>
      <c r="B18" s="4"/>
      <c r="J18" s="254">
        <f>пар!B88</f>
        <v>50</v>
      </c>
      <c r="K18" s="1">
        <f>$J$18*0.3</f>
        <v>15</v>
      </c>
      <c r="L18" s="1">
        <f aca="true" t="shared" si="7" ref="L18:AA18">$J$18*0.3</f>
        <v>15</v>
      </c>
      <c r="M18" s="1">
        <f t="shared" si="7"/>
        <v>15</v>
      </c>
      <c r="N18" s="1">
        <f t="shared" si="7"/>
        <v>15</v>
      </c>
      <c r="O18" s="1">
        <f t="shared" si="7"/>
        <v>15</v>
      </c>
      <c r="P18" s="1">
        <f t="shared" si="7"/>
        <v>15</v>
      </c>
      <c r="Q18" s="1">
        <f t="shared" si="7"/>
        <v>15</v>
      </c>
      <c r="R18" s="1">
        <f t="shared" si="7"/>
        <v>15</v>
      </c>
      <c r="S18" s="1">
        <f t="shared" si="7"/>
        <v>15</v>
      </c>
      <c r="T18" s="1">
        <f t="shared" si="7"/>
        <v>15</v>
      </c>
      <c r="U18" s="1">
        <f t="shared" si="7"/>
        <v>15</v>
      </c>
      <c r="V18" s="1">
        <f t="shared" si="7"/>
        <v>15</v>
      </c>
      <c r="W18" s="1">
        <f t="shared" si="7"/>
        <v>15</v>
      </c>
      <c r="X18" s="1">
        <f t="shared" si="7"/>
        <v>15</v>
      </c>
      <c r="Y18" s="1">
        <f t="shared" si="7"/>
        <v>15</v>
      </c>
      <c r="Z18" s="1">
        <f t="shared" si="7"/>
        <v>15</v>
      </c>
      <c r="AA18" s="1">
        <f t="shared" si="7"/>
        <v>15</v>
      </c>
      <c r="AB18" s="6"/>
    </row>
    <row r="19" spans="1:28" ht="13.5" hidden="1" outlineLevel="1">
      <c r="A19" s="356"/>
      <c r="B19" s="4"/>
      <c r="K19" s="252">
        <f>пар!B88</f>
        <v>50</v>
      </c>
      <c r="L19" s="1">
        <f>$K$19*0.3</f>
        <v>15</v>
      </c>
      <c r="M19" s="1">
        <f aca="true" t="shared" si="8" ref="M19:AA19">$K$19*0.3</f>
        <v>15</v>
      </c>
      <c r="N19" s="1">
        <f t="shared" si="8"/>
        <v>15</v>
      </c>
      <c r="O19" s="1">
        <f t="shared" si="8"/>
        <v>15</v>
      </c>
      <c r="P19" s="1">
        <f t="shared" si="8"/>
        <v>15</v>
      </c>
      <c r="Q19" s="1">
        <f t="shared" si="8"/>
        <v>15</v>
      </c>
      <c r="R19" s="1">
        <f t="shared" si="8"/>
        <v>15</v>
      </c>
      <c r="S19" s="1">
        <f t="shared" si="8"/>
        <v>15</v>
      </c>
      <c r="T19" s="1">
        <f t="shared" si="8"/>
        <v>15</v>
      </c>
      <c r="U19" s="1">
        <f t="shared" si="8"/>
        <v>15</v>
      </c>
      <c r="V19" s="1">
        <f t="shared" si="8"/>
        <v>15</v>
      </c>
      <c r="W19" s="1">
        <f t="shared" si="8"/>
        <v>15</v>
      </c>
      <c r="X19" s="1">
        <f t="shared" si="8"/>
        <v>15</v>
      </c>
      <c r="Y19" s="1">
        <f t="shared" si="8"/>
        <v>15</v>
      </c>
      <c r="Z19" s="1">
        <f t="shared" si="8"/>
        <v>15</v>
      </c>
      <c r="AA19" s="1">
        <f t="shared" si="8"/>
        <v>15</v>
      </c>
      <c r="AB19" s="6"/>
    </row>
    <row r="20" spans="1:28" ht="13.5" hidden="1" outlineLevel="1">
      <c r="A20" s="356"/>
      <c r="B20" s="4"/>
      <c r="L20" s="252">
        <f>пар!B88</f>
        <v>50</v>
      </c>
      <c r="M20" s="1">
        <f>$L$20*0.3</f>
        <v>15</v>
      </c>
      <c r="N20" s="1">
        <f aca="true" t="shared" si="9" ref="N20:AA20">$L$20*0.3</f>
        <v>15</v>
      </c>
      <c r="O20" s="1">
        <f t="shared" si="9"/>
        <v>15</v>
      </c>
      <c r="P20" s="1">
        <f t="shared" si="9"/>
        <v>15</v>
      </c>
      <c r="Q20" s="1">
        <f t="shared" si="9"/>
        <v>15</v>
      </c>
      <c r="R20" s="1">
        <f t="shared" si="9"/>
        <v>15</v>
      </c>
      <c r="S20" s="1">
        <f t="shared" si="9"/>
        <v>15</v>
      </c>
      <c r="T20" s="1">
        <f t="shared" si="9"/>
        <v>15</v>
      </c>
      <c r="U20" s="1">
        <f t="shared" si="9"/>
        <v>15</v>
      </c>
      <c r="V20" s="1">
        <f t="shared" si="9"/>
        <v>15</v>
      </c>
      <c r="W20" s="1">
        <f t="shared" si="9"/>
        <v>15</v>
      </c>
      <c r="X20" s="1">
        <f t="shared" si="9"/>
        <v>15</v>
      </c>
      <c r="Y20" s="1">
        <f t="shared" si="9"/>
        <v>15</v>
      </c>
      <c r="Z20" s="1">
        <f t="shared" si="9"/>
        <v>15</v>
      </c>
      <c r="AA20" s="1">
        <f t="shared" si="9"/>
        <v>15</v>
      </c>
      <c r="AB20" s="6"/>
    </row>
    <row r="21" spans="1:28" ht="13.5" hidden="1" outlineLevel="1">
      <c r="A21" s="356"/>
      <c r="B21" s="4"/>
      <c r="M21" s="252">
        <f>пар!B88</f>
        <v>50</v>
      </c>
      <c r="N21" s="9">
        <f>$M$21*0.3</f>
        <v>15</v>
      </c>
      <c r="O21" s="9">
        <f aca="true" t="shared" si="10" ref="O21:AA21">$M$21*0.3</f>
        <v>15</v>
      </c>
      <c r="P21" s="9">
        <f t="shared" si="10"/>
        <v>15</v>
      </c>
      <c r="Q21" s="9">
        <f t="shared" si="10"/>
        <v>15</v>
      </c>
      <c r="R21" s="9">
        <f t="shared" si="10"/>
        <v>15</v>
      </c>
      <c r="S21" s="9">
        <f t="shared" si="10"/>
        <v>15</v>
      </c>
      <c r="T21" s="9">
        <f t="shared" si="10"/>
        <v>15</v>
      </c>
      <c r="U21" s="9">
        <f t="shared" si="10"/>
        <v>15</v>
      </c>
      <c r="V21" s="9">
        <f t="shared" si="10"/>
        <v>15</v>
      </c>
      <c r="W21" s="9">
        <f t="shared" si="10"/>
        <v>15</v>
      </c>
      <c r="X21" s="9">
        <f t="shared" si="10"/>
        <v>15</v>
      </c>
      <c r="Y21" s="9">
        <f t="shared" si="10"/>
        <v>15</v>
      </c>
      <c r="Z21" s="9">
        <f t="shared" si="10"/>
        <v>15</v>
      </c>
      <c r="AA21" s="9">
        <f t="shared" si="10"/>
        <v>15</v>
      </c>
      <c r="AB21" s="6"/>
    </row>
    <row r="22" spans="1:28" ht="13.5" hidden="1" outlineLevel="1">
      <c r="A22" s="356"/>
      <c r="B22" s="4"/>
      <c r="N22" s="255">
        <f>пар!B88</f>
        <v>50</v>
      </c>
      <c r="O22" s="10"/>
      <c r="P22" s="1">
        <f>$N$22*0.3</f>
        <v>15</v>
      </c>
      <c r="Q22" s="1">
        <f aca="true" t="shared" si="11" ref="Q22:AA22">$N$22*0.3</f>
        <v>15</v>
      </c>
      <c r="R22" s="1">
        <f t="shared" si="11"/>
        <v>15</v>
      </c>
      <c r="S22" s="1">
        <f t="shared" si="11"/>
        <v>15</v>
      </c>
      <c r="T22" s="1">
        <f t="shared" si="11"/>
        <v>15</v>
      </c>
      <c r="U22" s="1">
        <f t="shared" si="11"/>
        <v>15</v>
      </c>
      <c r="V22" s="1">
        <f t="shared" si="11"/>
        <v>15</v>
      </c>
      <c r="W22" s="1">
        <f t="shared" si="11"/>
        <v>15</v>
      </c>
      <c r="X22" s="1">
        <f t="shared" si="11"/>
        <v>15</v>
      </c>
      <c r="Y22" s="1">
        <f t="shared" si="11"/>
        <v>15</v>
      </c>
      <c r="Z22" s="1">
        <f t="shared" si="11"/>
        <v>15</v>
      </c>
      <c r="AA22" s="1">
        <f t="shared" si="11"/>
        <v>15</v>
      </c>
      <c r="AB22" s="6"/>
    </row>
    <row r="23" spans="1:28" ht="13.5" hidden="1" outlineLevel="1">
      <c r="A23" s="356"/>
      <c r="B23" s="4"/>
      <c r="P23" s="252">
        <f>пар!B88</f>
        <v>50</v>
      </c>
      <c r="Q23" s="1">
        <f>$P$23*0.3</f>
        <v>15</v>
      </c>
      <c r="R23" s="1">
        <f aca="true" t="shared" si="12" ref="R23:AA23">$P$23*0.3</f>
        <v>15</v>
      </c>
      <c r="S23" s="1">
        <f t="shared" si="12"/>
        <v>15</v>
      </c>
      <c r="T23" s="1">
        <f t="shared" si="12"/>
        <v>15</v>
      </c>
      <c r="U23" s="1">
        <f t="shared" si="12"/>
        <v>15</v>
      </c>
      <c r="V23" s="1">
        <f t="shared" si="12"/>
        <v>15</v>
      </c>
      <c r="W23" s="1">
        <f t="shared" si="12"/>
        <v>15</v>
      </c>
      <c r="X23" s="1">
        <f t="shared" si="12"/>
        <v>15</v>
      </c>
      <c r="Y23" s="1">
        <f t="shared" si="12"/>
        <v>15</v>
      </c>
      <c r="Z23" s="1">
        <f t="shared" si="12"/>
        <v>15</v>
      </c>
      <c r="AA23" s="1">
        <f t="shared" si="12"/>
        <v>15</v>
      </c>
      <c r="AB23" s="6"/>
    </row>
    <row r="24" spans="1:28" ht="13.5" hidden="1" outlineLevel="1">
      <c r="A24" s="356"/>
      <c r="B24" s="4"/>
      <c r="Q24" s="252">
        <f>пар!B88</f>
        <v>50</v>
      </c>
      <c r="R24" s="1">
        <f>$Q$24*0.3</f>
        <v>15</v>
      </c>
      <c r="S24" s="1">
        <f aca="true" t="shared" si="13" ref="S24:AA24">$Q$24*0.3</f>
        <v>15</v>
      </c>
      <c r="T24" s="1">
        <f t="shared" si="13"/>
        <v>15</v>
      </c>
      <c r="U24" s="1">
        <f t="shared" si="13"/>
        <v>15</v>
      </c>
      <c r="V24" s="1">
        <f t="shared" si="13"/>
        <v>15</v>
      </c>
      <c r="W24" s="1">
        <f t="shared" si="13"/>
        <v>15</v>
      </c>
      <c r="X24" s="1">
        <f t="shared" si="13"/>
        <v>15</v>
      </c>
      <c r="Y24" s="1">
        <f t="shared" si="13"/>
        <v>15</v>
      </c>
      <c r="Z24" s="1">
        <f t="shared" si="13"/>
        <v>15</v>
      </c>
      <c r="AA24" s="1">
        <f t="shared" si="13"/>
        <v>15</v>
      </c>
      <c r="AB24" s="6"/>
    </row>
    <row r="25" spans="1:28" ht="13.5" hidden="1" outlineLevel="1">
      <c r="A25" s="356"/>
      <c r="B25" s="4"/>
      <c r="R25" s="252">
        <f>пар!B88</f>
        <v>50</v>
      </c>
      <c r="S25" s="1">
        <f>$R$25*0.3</f>
        <v>15</v>
      </c>
      <c r="T25" s="1">
        <f aca="true" t="shared" si="14" ref="T25:AA25">$R$25*0.3</f>
        <v>15</v>
      </c>
      <c r="U25" s="1">
        <f t="shared" si="14"/>
        <v>15</v>
      </c>
      <c r="V25" s="1">
        <f t="shared" si="14"/>
        <v>15</v>
      </c>
      <c r="W25" s="1">
        <f t="shared" si="14"/>
        <v>15</v>
      </c>
      <c r="X25" s="1">
        <f t="shared" si="14"/>
        <v>15</v>
      </c>
      <c r="Y25" s="1">
        <f t="shared" si="14"/>
        <v>15</v>
      </c>
      <c r="Z25" s="1">
        <f t="shared" si="14"/>
        <v>15</v>
      </c>
      <c r="AA25" s="1">
        <f t="shared" si="14"/>
        <v>15</v>
      </c>
      <c r="AB25" s="6"/>
    </row>
    <row r="26" spans="1:28" ht="13.5" hidden="1" outlineLevel="1">
      <c r="A26" s="356"/>
      <c r="B26" s="4"/>
      <c r="S26" s="252">
        <f>пар!B88</f>
        <v>50</v>
      </c>
      <c r="T26" s="1">
        <f>$S$26*0.3</f>
        <v>15</v>
      </c>
      <c r="U26" s="1">
        <f aca="true" t="shared" si="15" ref="U26:AA26">$S$26*0.3</f>
        <v>15</v>
      </c>
      <c r="V26" s="1">
        <f t="shared" si="15"/>
        <v>15</v>
      </c>
      <c r="W26" s="1">
        <f t="shared" si="15"/>
        <v>15</v>
      </c>
      <c r="X26" s="1">
        <f t="shared" si="15"/>
        <v>15</v>
      </c>
      <c r="Y26" s="1">
        <f t="shared" si="15"/>
        <v>15</v>
      </c>
      <c r="Z26" s="1">
        <f t="shared" si="15"/>
        <v>15</v>
      </c>
      <c r="AA26" s="1">
        <f t="shared" si="15"/>
        <v>15</v>
      </c>
      <c r="AB26" s="6"/>
    </row>
    <row r="27" spans="1:28" ht="13.5" hidden="1" outlineLevel="1">
      <c r="A27" s="356"/>
      <c r="B27" s="4"/>
      <c r="T27" s="252">
        <f>пар!B88</f>
        <v>50</v>
      </c>
      <c r="U27" s="1">
        <f>$T$27*0.3</f>
        <v>15</v>
      </c>
      <c r="V27" s="1">
        <f aca="true" t="shared" si="16" ref="V27:AA27">$T$27*0.3</f>
        <v>15</v>
      </c>
      <c r="W27" s="1">
        <f t="shared" si="16"/>
        <v>15</v>
      </c>
      <c r="X27" s="1">
        <f t="shared" si="16"/>
        <v>15</v>
      </c>
      <c r="Y27" s="1">
        <f t="shared" si="16"/>
        <v>15</v>
      </c>
      <c r="Z27" s="1">
        <f t="shared" si="16"/>
        <v>15</v>
      </c>
      <c r="AA27" s="1">
        <f t="shared" si="16"/>
        <v>15</v>
      </c>
      <c r="AB27" s="6"/>
    </row>
    <row r="28" spans="1:28" ht="13.5" hidden="1" outlineLevel="1">
      <c r="A28" s="356"/>
      <c r="B28" s="4"/>
      <c r="U28" s="252">
        <f>пар!B88</f>
        <v>50</v>
      </c>
      <c r="V28" s="1">
        <f aca="true" t="shared" si="17" ref="V28:AA28">$U$28*0.3</f>
        <v>15</v>
      </c>
      <c r="W28" s="1">
        <f t="shared" si="17"/>
        <v>15</v>
      </c>
      <c r="X28" s="1">
        <f t="shared" si="17"/>
        <v>15</v>
      </c>
      <c r="Y28" s="1">
        <f t="shared" si="17"/>
        <v>15</v>
      </c>
      <c r="Z28" s="1">
        <f t="shared" si="17"/>
        <v>15</v>
      </c>
      <c r="AA28" s="1">
        <f t="shared" si="17"/>
        <v>15</v>
      </c>
      <c r="AB28" s="6"/>
    </row>
    <row r="29" spans="1:28" ht="13.5" hidden="1" outlineLevel="1">
      <c r="A29" s="356"/>
      <c r="B29" s="4"/>
      <c r="V29" s="252">
        <f>пар!B88</f>
        <v>50</v>
      </c>
      <c r="W29" s="1">
        <f>$V$29*0.3</f>
        <v>15</v>
      </c>
      <c r="X29" s="1">
        <f>$V$29*0.3</f>
        <v>15</v>
      </c>
      <c r="Y29" s="1">
        <f>$V$29*0.3</f>
        <v>15</v>
      </c>
      <c r="Z29" s="1">
        <f>$V$29*0.3</f>
        <v>15</v>
      </c>
      <c r="AA29" s="1">
        <f>$V$29*0.3</f>
        <v>15</v>
      </c>
      <c r="AB29" s="6"/>
    </row>
    <row r="30" spans="1:28" ht="13.5" hidden="1" outlineLevel="1">
      <c r="A30" s="356"/>
      <c r="B30" s="4"/>
      <c r="W30" s="252">
        <f>пар!B88</f>
        <v>50</v>
      </c>
      <c r="X30" s="1">
        <f>$W$30*0.3</f>
        <v>15</v>
      </c>
      <c r="Y30" s="1">
        <f>$W$30*0.3</f>
        <v>15</v>
      </c>
      <c r="Z30" s="1">
        <f>$W$30*0.3</f>
        <v>15</v>
      </c>
      <c r="AA30" s="1">
        <f>$W$30*0.3</f>
        <v>15</v>
      </c>
      <c r="AB30" s="6"/>
    </row>
    <row r="31" spans="1:28" ht="13.5" hidden="1" outlineLevel="1">
      <c r="A31" s="356"/>
      <c r="B31" s="4"/>
      <c r="X31" s="252">
        <f>пар!B88</f>
        <v>50</v>
      </c>
      <c r="Y31" s="1">
        <f>$X$31*0.3</f>
        <v>15</v>
      </c>
      <c r="Z31" s="1">
        <f>$X$31*0.3</f>
        <v>15</v>
      </c>
      <c r="AA31" s="1">
        <f>$X$31*0.3</f>
        <v>15</v>
      </c>
      <c r="AB31" s="6"/>
    </row>
    <row r="32" spans="1:28" ht="13.5" hidden="1" outlineLevel="1">
      <c r="A32" s="356"/>
      <c r="B32" s="4"/>
      <c r="Y32" s="252">
        <f>пар!B88</f>
        <v>50</v>
      </c>
      <c r="Z32" s="1">
        <f>$Y$32*0.3</f>
        <v>15</v>
      </c>
      <c r="AA32" s="1">
        <f>$Y$32*0.3</f>
        <v>15</v>
      </c>
      <c r="AB32" s="6"/>
    </row>
    <row r="33" spans="1:38" ht="13.5" hidden="1" outlineLevel="1">
      <c r="A33" s="256" t="s">
        <v>170</v>
      </c>
      <c r="B33" s="4"/>
      <c r="Z33" s="252">
        <f>пар!B88</f>
        <v>50</v>
      </c>
      <c r="AA33" s="1">
        <f>Z33*0.3</f>
        <v>15</v>
      </c>
      <c r="AB33" s="6"/>
      <c r="AL33" s="1">
        <v>17</v>
      </c>
    </row>
    <row r="34" spans="1:28" ht="13.5" hidden="1" outlineLevel="1">
      <c r="A34" s="257">
        <f>пар!B86</f>
        <v>1500</v>
      </c>
      <c r="B34" s="4"/>
      <c r="N34" s="11"/>
      <c r="O34" s="11"/>
      <c r="AA34" s="252">
        <f>пар!B88</f>
        <v>50</v>
      </c>
      <c r="AB34" s="6"/>
    </row>
    <row r="35" spans="1:28" s="27" customFormat="1" ht="13.5" hidden="1" outlineLevel="1">
      <c r="A35" s="25" t="s">
        <v>67</v>
      </c>
      <c r="B35" s="26"/>
      <c r="J35" s="28"/>
      <c r="N35" s="29"/>
      <c r="O35" s="29"/>
      <c r="AB35" s="30"/>
    </row>
    <row r="36" spans="1:28" ht="15" collapsed="1">
      <c r="A36" s="16" t="s">
        <v>1</v>
      </c>
      <c r="B36" s="37" t="s">
        <v>52</v>
      </c>
      <c r="C36" s="21">
        <f aca="true" t="shared" si="18" ref="C36:AA36">SUM(C11:C34)</f>
        <v>95</v>
      </c>
      <c r="D36" s="21">
        <f t="shared" si="18"/>
        <v>124</v>
      </c>
      <c r="E36" s="21">
        <f t="shared" si="18"/>
        <v>153</v>
      </c>
      <c r="F36" s="21">
        <f t="shared" si="18"/>
        <v>137</v>
      </c>
      <c r="G36" s="21">
        <f t="shared" si="18"/>
        <v>152</v>
      </c>
      <c r="H36" s="21">
        <f t="shared" si="18"/>
        <v>167</v>
      </c>
      <c r="I36" s="21">
        <f t="shared" si="18"/>
        <v>182</v>
      </c>
      <c r="J36" s="21">
        <f t="shared" si="18"/>
        <v>197</v>
      </c>
      <c r="K36" s="21">
        <f t="shared" si="18"/>
        <v>212</v>
      </c>
      <c r="L36" s="21">
        <f t="shared" si="18"/>
        <v>227</v>
      </c>
      <c r="M36" s="21">
        <f t="shared" si="18"/>
        <v>242</v>
      </c>
      <c r="N36" s="22">
        <f t="shared" si="18"/>
        <v>257</v>
      </c>
      <c r="O36" s="57">
        <f>SUM(C36:N36)</f>
        <v>2145</v>
      </c>
      <c r="P36" s="35">
        <f t="shared" si="18"/>
        <v>272</v>
      </c>
      <c r="Q36" s="35">
        <f t="shared" si="18"/>
        <v>287</v>
      </c>
      <c r="R36" s="35">
        <f t="shared" si="18"/>
        <v>302</v>
      </c>
      <c r="S36" s="35">
        <f t="shared" si="18"/>
        <v>317</v>
      </c>
      <c r="T36" s="35">
        <f t="shared" si="18"/>
        <v>332</v>
      </c>
      <c r="U36" s="35">
        <f t="shared" si="18"/>
        <v>347</v>
      </c>
      <c r="V36" s="35">
        <f t="shared" si="18"/>
        <v>362</v>
      </c>
      <c r="W36" s="35">
        <f t="shared" si="18"/>
        <v>377</v>
      </c>
      <c r="X36" s="35">
        <f t="shared" si="18"/>
        <v>392</v>
      </c>
      <c r="Y36" s="35">
        <f t="shared" si="18"/>
        <v>407</v>
      </c>
      <c r="Z36" s="35">
        <f t="shared" si="18"/>
        <v>422</v>
      </c>
      <c r="AA36" s="35">
        <f t="shared" si="18"/>
        <v>437</v>
      </c>
      <c r="AB36" s="66">
        <f aca="true" t="shared" si="19" ref="AB36:AB44">SUM(C36:AA36)</f>
        <v>8544</v>
      </c>
    </row>
    <row r="37" spans="1:28" ht="15">
      <c r="A37" s="16" t="s">
        <v>165</v>
      </c>
      <c r="B37" s="37" t="s">
        <v>52</v>
      </c>
      <c r="C37" s="19">
        <v>0</v>
      </c>
      <c r="D37" s="19">
        <f aca="true" t="shared" si="20" ref="D37:M37">D36+C36*0.1</f>
        <v>133.5</v>
      </c>
      <c r="E37" s="19">
        <f t="shared" si="20"/>
        <v>165.4</v>
      </c>
      <c r="F37" s="19">
        <f t="shared" si="20"/>
        <v>152.3</v>
      </c>
      <c r="G37" s="19">
        <f t="shared" si="20"/>
        <v>165.7</v>
      </c>
      <c r="H37" s="19">
        <f t="shared" si="20"/>
        <v>182.2</v>
      </c>
      <c r="I37" s="19">
        <f t="shared" si="20"/>
        <v>198.7</v>
      </c>
      <c r="J37" s="19">
        <f t="shared" si="20"/>
        <v>215.2</v>
      </c>
      <c r="K37" s="19">
        <f t="shared" si="20"/>
        <v>231.7</v>
      </c>
      <c r="L37" s="19">
        <f t="shared" si="20"/>
        <v>248.2</v>
      </c>
      <c r="M37" s="19">
        <f t="shared" si="20"/>
        <v>264.7</v>
      </c>
      <c r="N37" s="19">
        <f aca="true" t="shared" si="21" ref="N37:Z37">N36+M36*0.1</f>
        <v>281.2</v>
      </c>
      <c r="O37" s="19">
        <f t="shared" si="21"/>
        <v>2170.7</v>
      </c>
      <c r="P37" s="19">
        <f>P36+N36*0.1</f>
        <v>297.7</v>
      </c>
      <c r="Q37" s="19">
        <f t="shared" si="21"/>
        <v>314.2</v>
      </c>
      <c r="R37" s="19">
        <f t="shared" si="21"/>
        <v>330.7</v>
      </c>
      <c r="S37" s="19">
        <f t="shared" si="21"/>
        <v>347.2</v>
      </c>
      <c r="T37" s="19">
        <f t="shared" si="21"/>
        <v>363.7</v>
      </c>
      <c r="U37" s="19">
        <f t="shared" si="21"/>
        <v>380.2</v>
      </c>
      <c r="V37" s="19">
        <f t="shared" si="21"/>
        <v>396.7</v>
      </c>
      <c r="W37" s="19">
        <f t="shared" si="21"/>
        <v>413.2</v>
      </c>
      <c r="X37" s="19">
        <f t="shared" si="21"/>
        <v>429.7</v>
      </c>
      <c r="Y37" s="19">
        <f t="shared" si="21"/>
        <v>446.2</v>
      </c>
      <c r="Z37" s="19">
        <f t="shared" si="21"/>
        <v>462.7</v>
      </c>
      <c r="AA37" s="19">
        <f>AA36+Z36*0.1</f>
        <v>479.2</v>
      </c>
      <c r="AB37" s="66">
        <f t="shared" si="19"/>
        <v>9070.9</v>
      </c>
    </row>
    <row r="38" spans="1:28" ht="15">
      <c r="A38" s="16" t="s">
        <v>47</v>
      </c>
      <c r="B38" s="37" t="s">
        <v>65</v>
      </c>
      <c r="C38" s="19">
        <f>C39+C39*C40</f>
        <v>2508.5</v>
      </c>
      <c r="D38" s="19">
        <f aca="true" t="shared" si="22" ref="D38:P38">D39+D39*D40</f>
        <v>2508.5</v>
      </c>
      <c r="E38" s="19">
        <f t="shared" si="22"/>
        <v>2508.5</v>
      </c>
      <c r="F38" s="19">
        <f t="shared" si="22"/>
        <v>2508.5</v>
      </c>
      <c r="G38" s="19">
        <f t="shared" si="22"/>
        <v>2508.5</v>
      </c>
      <c r="H38" s="19">
        <f t="shared" si="22"/>
        <v>2508.5</v>
      </c>
      <c r="I38" s="19">
        <f t="shared" si="22"/>
        <v>2508.5</v>
      </c>
      <c r="J38" s="19">
        <f t="shared" si="22"/>
        <v>2508.5</v>
      </c>
      <c r="K38" s="19">
        <f t="shared" si="22"/>
        <v>2508.5</v>
      </c>
      <c r="L38" s="19">
        <f t="shared" si="22"/>
        <v>2508.5</v>
      </c>
      <c r="M38" s="19">
        <f t="shared" si="22"/>
        <v>2508.5</v>
      </c>
      <c r="N38" s="19">
        <f t="shared" si="22"/>
        <v>2508.5</v>
      </c>
      <c r="O38" s="58">
        <f>(C38+D38+E38+F38+G38+H38+I38+J38+K38+L38+M38+N38)/12</f>
        <v>2508.5</v>
      </c>
      <c r="P38" s="19">
        <f t="shared" si="22"/>
        <v>2508.5</v>
      </c>
      <c r="Q38" s="19">
        <f aca="true" t="shared" si="23" ref="Q38:AA38">Q39+Q39*Q40</f>
        <v>2508.5</v>
      </c>
      <c r="R38" s="19">
        <f t="shared" si="23"/>
        <v>2508.5</v>
      </c>
      <c r="S38" s="19">
        <f t="shared" si="23"/>
        <v>2508.5</v>
      </c>
      <c r="T38" s="19">
        <f t="shared" si="23"/>
        <v>2508.5</v>
      </c>
      <c r="U38" s="19">
        <f t="shared" si="23"/>
        <v>2508.5</v>
      </c>
      <c r="V38" s="19">
        <f t="shared" si="23"/>
        <v>2508.5</v>
      </c>
      <c r="W38" s="19">
        <f t="shared" si="23"/>
        <v>2508.5</v>
      </c>
      <c r="X38" s="19">
        <f t="shared" si="23"/>
        <v>2508.5</v>
      </c>
      <c r="Y38" s="19">
        <f t="shared" si="23"/>
        <v>2508.5</v>
      </c>
      <c r="Z38" s="19">
        <f t="shared" si="23"/>
        <v>2508.5</v>
      </c>
      <c r="AA38" s="19">
        <f t="shared" si="23"/>
        <v>2508.5</v>
      </c>
      <c r="AB38" s="58">
        <f>(P38+Q38+R38+S38+T38+U38+V38+W38+X38+Y38+Z38+AA38)/12</f>
        <v>2508.5</v>
      </c>
    </row>
    <row r="39" spans="1:28" ht="15">
      <c r="A39" s="52" t="s">
        <v>64</v>
      </c>
      <c r="B39" s="37" t="s">
        <v>65</v>
      </c>
      <c r="C39" s="36">
        <f>пар!B40</f>
        <v>1730</v>
      </c>
      <c r="D39" s="53">
        <f>C39</f>
        <v>1730</v>
      </c>
      <c r="E39" s="53">
        <f aca="true" t="shared" si="24" ref="E39:N39">D39</f>
        <v>1730</v>
      </c>
      <c r="F39" s="53">
        <f t="shared" si="24"/>
        <v>1730</v>
      </c>
      <c r="G39" s="53">
        <f t="shared" si="24"/>
        <v>1730</v>
      </c>
      <c r="H39" s="53">
        <f t="shared" si="24"/>
        <v>1730</v>
      </c>
      <c r="I39" s="53">
        <f t="shared" si="24"/>
        <v>1730</v>
      </c>
      <c r="J39" s="53">
        <f t="shared" si="24"/>
        <v>1730</v>
      </c>
      <c r="K39" s="53">
        <f t="shared" si="24"/>
        <v>1730</v>
      </c>
      <c r="L39" s="53">
        <f t="shared" si="24"/>
        <v>1730</v>
      </c>
      <c r="M39" s="53">
        <f t="shared" si="24"/>
        <v>1730</v>
      </c>
      <c r="N39" s="53">
        <f t="shared" si="24"/>
        <v>1730</v>
      </c>
      <c r="O39" s="59">
        <f>(C39+D39+E39+F39+G39+H39+I39+J39+K39+L39+M39+N39)/12</f>
        <v>1730</v>
      </c>
      <c r="P39" s="19">
        <f>C39</f>
        <v>1730</v>
      </c>
      <c r="Q39" s="19">
        <f>P39</f>
        <v>1730</v>
      </c>
      <c r="R39" s="19">
        <f aca="true" t="shared" si="25" ref="R39:AA39">Q39</f>
        <v>1730</v>
      </c>
      <c r="S39" s="19">
        <f t="shared" si="25"/>
        <v>1730</v>
      </c>
      <c r="T39" s="19">
        <f t="shared" si="25"/>
        <v>1730</v>
      </c>
      <c r="U39" s="19">
        <f t="shared" si="25"/>
        <v>1730</v>
      </c>
      <c r="V39" s="19">
        <f t="shared" si="25"/>
        <v>1730</v>
      </c>
      <c r="W39" s="19">
        <f t="shared" si="25"/>
        <v>1730</v>
      </c>
      <c r="X39" s="19">
        <f t="shared" si="25"/>
        <v>1730</v>
      </c>
      <c r="Y39" s="19">
        <f t="shared" si="25"/>
        <v>1730</v>
      </c>
      <c r="Z39" s="19">
        <f t="shared" si="25"/>
        <v>1730</v>
      </c>
      <c r="AA39" s="19">
        <f t="shared" si="25"/>
        <v>1730</v>
      </c>
      <c r="AB39" s="58">
        <f>(P39+Q39+R39+S39+T39+U39+V39+W39+X39+Y39+Z39+AA39)/12</f>
        <v>1730</v>
      </c>
    </row>
    <row r="40" spans="1:28" ht="15">
      <c r="A40" s="52" t="s">
        <v>70</v>
      </c>
      <c r="B40" s="37" t="s">
        <v>69</v>
      </c>
      <c r="C40" s="50">
        <f>пар!B41</f>
        <v>0.45</v>
      </c>
      <c r="D40" s="17">
        <f>C40</f>
        <v>0.45</v>
      </c>
      <c r="E40" s="17">
        <f>D40</f>
        <v>0.45</v>
      </c>
      <c r="F40" s="17">
        <f aca="true" t="shared" si="26" ref="F40:N40">E40</f>
        <v>0.45</v>
      </c>
      <c r="G40" s="17">
        <f t="shared" si="26"/>
        <v>0.45</v>
      </c>
      <c r="H40" s="17">
        <f t="shared" si="26"/>
        <v>0.45</v>
      </c>
      <c r="I40" s="17">
        <f t="shared" si="26"/>
        <v>0.45</v>
      </c>
      <c r="J40" s="17">
        <f t="shared" si="26"/>
        <v>0.45</v>
      </c>
      <c r="K40" s="17">
        <f t="shared" si="26"/>
        <v>0.45</v>
      </c>
      <c r="L40" s="17">
        <f t="shared" si="26"/>
        <v>0.45</v>
      </c>
      <c r="M40" s="17">
        <f t="shared" si="26"/>
        <v>0.45</v>
      </c>
      <c r="N40" s="17">
        <f t="shared" si="26"/>
        <v>0.45</v>
      </c>
      <c r="O40" s="60">
        <f>(C40+D40+E40+F40+G40+H40+I40+J40+K40+L40+M40+N40)/12</f>
        <v>0.4500000000000001</v>
      </c>
      <c r="P40" s="17">
        <f>C40</f>
        <v>0.45</v>
      </c>
      <c r="Q40" s="17">
        <f>P40</f>
        <v>0.45</v>
      </c>
      <c r="R40" s="17">
        <f aca="true" t="shared" si="27" ref="R40:AA40">Q40</f>
        <v>0.45</v>
      </c>
      <c r="S40" s="17">
        <f t="shared" si="27"/>
        <v>0.45</v>
      </c>
      <c r="T40" s="17">
        <f t="shared" si="27"/>
        <v>0.45</v>
      </c>
      <c r="U40" s="17">
        <f t="shared" si="27"/>
        <v>0.45</v>
      </c>
      <c r="V40" s="17">
        <f t="shared" si="27"/>
        <v>0.45</v>
      </c>
      <c r="W40" s="17">
        <f t="shared" si="27"/>
        <v>0.45</v>
      </c>
      <c r="X40" s="17">
        <f t="shared" si="27"/>
        <v>0.45</v>
      </c>
      <c r="Y40" s="17">
        <f t="shared" si="27"/>
        <v>0.45</v>
      </c>
      <c r="Z40" s="17">
        <f t="shared" si="27"/>
        <v>0.45</v>
      </c>
      <c r="AA40" s="17">
        <f t="shared" si="27"/>
        <v>0.45</v>
      </c>
      <c r="AB40" s="60">
        <f>(P40+Q40+R40+S40+T40+U40+V40+W40+X40+Y40+Z40+AA40)/12</f>
        <v>0.4500000000000001</v>
      </c>
    </row>
    <row r="41" spans="1:28" ht="15">
      <c r="A41" s="16" t="s">
        <v>48</v>
      </c>
      <c r="B41" s="37" t="s">
        <v>65</v>
      </c>
      <c r="C41" s="19">
        <f>C36*C38</f>
        <v>238307.5</v>
      </c>
      <c r="D41" s="19">
        <f aca="true" t="shared" si="28" ref="D41:N41">D37*D38</f>
        <v>334884.75</v>
      </c>
      <c r="E41" s="19">
        <f t="shared" si="28"/>
        <v>414905.9</v>
      </c>
      <c r="F41" s="19">
        <f t="shared" si="28"/>
        <v>382044.55000000005</v>
      </c>
      <c r="G41" s="19">
        <f t="shared" si="28"/>
        <v>415658.44999999995</v>
      </c>
      <c r="H41" s="19">
        <f t="shared" si="28"/>
        <v>457048.69999999995</v>
      </c>
      <c r="I41" s="19">
        <f t="shared" si="28"/>
        <v>498438.94999999995</v>
      </c>
      <c r="J41" s="19">
        <f t="shared" si="28"/>
        <v>539829.2</v>
      </c>
      <c r="K41" s="19">
        <f t="shared" si="28"/>
        <v>581219.45</v>
      </c>
      <c r="L41" s="19">
        <f t="shared" si="28"/>
        <v>622609.7</v>
      </c>
      <c r="M41" s="19">
        <f t="shared" si="28"/>
        <v>663999.95</v>
      </c>
      <c r="N41" s="19">
        <f t="shared" si="28"/>
        <v>705390.2</v>
      </c>
      <c r="O41" s="57">
        <f>SUM(C41:N41)</f>
        <v>5854337.300000001</v>
      </c>
      <c r="P41" s="19">
        <f>P37*P38</f>
        <v>746780.45</v>
      </c>
      <c r="Q41" s="19">
        <f aca="true" t="shared" si="29" ref="Q41:AA41">Q37*Q38</f>
        <v>788170.7</v>
      </c>
      <c r="R41" s="19">
        <f t="shared" si="29"/>
        <v>829560.95</v>
      </c>
      <c r="S41" s="19">
        <f t="shared" si="29"/>
        <v>870951.2</v>
      </c>
      <c r="T41" s="19">
        <f t="shared" si="29"/>
        <v>912341.45</v>
      </c>
      <c r="U41" s="19">
        <f t="shared" si="29"/>
        <v>953731.7</v>
      </c>
      <c r="V41" s="19">
        <f t="shared" si="29"/>
        <v>995121.95</v>
      </c>
      <c r="W41" s="19">
        <f t="shared" si="29"/>
        <v>1036512.2</v>
      </c>
      <c r="X41" s="19">
        <f t="shared" si="29"/>
        <v>1077902.45</v>
      </c>
      <c r="Y41" s="19">
        <f t="shared" si="29"/>
        <v>1119292.7</v>
      </c>
      <c r="Z41" s="19">
        <f t="shared" si="29"/>
        <v>1160682.95</v>
      </c>
      <c r="AA41" s="19">
        <f t="shared" si="29"/>
        <v>1202073.2</v>
      </c>
      <c r="AB41" s="66">
        <f t="shared" si="19"/>
        <v>23401796.499999993</v>
      </c>
    </row>
    <row r="42" spans="1:28" s="24" customFormat="1" ht="15">
      <c r="A42" s="23" t="s">
        <v>49</v>
      </c>
      <c r="B42" s="38" t="s">
        <v>65</v>
      </c>
      <c r="C42" s="19">
        <f>C36*C39</f>
        <v>164350</v>
      </c>
      <c r="D42" s="19">
        <f aca="true" t="shared" si="30" ref="D42:I42">D37*D39</f>
        <v>230955</v>
      </c>
      <c r="E42" s="19">
        <f t="shared" si="30"/>
        <v>286142</v>
      </c>
      <c r="F42" s="19">
        <f t="shared" si="30"/>
        <v>263479</v>
      </c>
      <c r="G42" s="19">
        <f t="shared" si="30"/>
        <v>286661</v>
      </c>
      <c r="H42" s="19">
        <f t="shared" si="30"/>
        <v>315206</v>
      </c>
      <c r="I42" s="19">
        <f t="shared" si="30"/>
        <v>343751</v>
      </c>
      <c r="J42" s="19">
        <f>J37*J39</f>
        <v>372296</v>
      </c>
      <c r="K42" s="19">
        <f>K37*K39</f>
        <v>400841</v>
      </c>
      <c r="L42" s="19">
        <f>L37*L39</f>
        <v>429386</v>
      </c>
      <c r="M42" s="19">
        <f>M37*M39</f>
        <v>457931</v>
      </c>
      <c r="N42" s="19">
        <f>N37*N39</f>
        <v>486476</v>
      </c>
      <c r="O42" s="57">
        <f>SUM(C42:N42)</f>
        <v>4037474</v>
      </c>
      <c r="P42" s="19">
        <f>P37*P39</f>
        <v>515021</v>
      </c>
      <c r="Q42" s="19">
        <f aca="true" t="shared" si="31" ref="Q42:AA42">Q37*Q39</f>
        <v>543566</v>
      </c>
      <c r="R42" s="19">
        <f t="shared" si="31"/>
        <v>572111</v>
      </c>
      <c r="S42" s="19">
        <f t="shared" si="31"/>
        <v>600656</v>
      </c>
      <c r="T42" s="19">
        <f t="shared" si="31"/>
        <v>629201</v>
      </c>
      <c r="U42" s="19">
        <f t="shared" si="31"/>
        <v>657746</v>
      </c>
      <c r="V42" s="19">
        <f t="shared" si="31"/>
        <v>686291</v>
      </c>
      <c r="W42" s="19">
        <f t="shared" si="31"/>
        <v>714836</v>
      </c>
      <c r="X42" s="19">
        <f t="shared" si="31"/>
        <v>743381</v>
      </c>
      <c r="Y42" s="19">
        <f t="shared" si="31"/>
        <v>771926</v>
      </c>
      <c r="Z42" s="19">
        <f t="shared" si="31"/>
        <v>800471</v>
      </c>
      <c r="AA42" s="19">
        <f t="shared" si="31"/>
        <v>829016</v>
      </c>
      <c r="AB42" s="66">
        <f>SUM(P42:AA42)</f>
        <v>8064222</v>
      </c>
    </row>
    <row r="43" spans="1:28" ht="15">
      <c r="A43" s="15" t="s">
        <v>50</v>
      </c>
      <c r="B43" s="39" t="s">
        <v>65</v>
      </c>
      <c r="C43" s="19">
        <f aca="true" t="shared" si="32" ref="C43:N43">C41-C42</f>
        <v>73957.5</v>
      </c>
      <c r="D43" s="19">
        <f t="shared" si="32"/>
        <v>103929.75</v>
      </c>
      <c r="E43" s="19">
        <f t="shared" si="32"/>
        <v>128763.90000000002</v>
      </c>
      <c r="F43" s="19">
        <f t="shared" si="32"/>
        <v>118565.55000000005</v>
      </c>
      <c r="G43" s="19">
        <f t="shared" si="32"/>
        <v>128997.44999999995</v>
      </c>
      <c r="H43" s="19">
        <f t="shared" si="32"/>
        <v>141842.69999999995</v>
      </c>
      <c r="I43" s="19">
        <f t="shared" si="32"/>
        <v>154687.94999999995</v>
      </c>
      <c r="J43" s="19">
        <f t="shared" si="32"/>
        <v>167533.19999999995</v>
      </c>
      <c r="K43" s="19">
        <f t="shared" si="32"/>
        <v>180378.44999999995</v>
      </c>
      <c r="L43" s="19">
        <f t="shared" si="32"/>
        <v>193223.69999999995</v>
      </c>
      <c r="M43" s="19">
        <f t="shared" si="32"/>
        <v>206068.94999999995</v>
      </c>
      <c r="N43" s="19">
        <f t="shared" si="32"/>
        <v>218914.19999999995</v>
      </c>
      <c r="O43" s="57">
        <f>SUM(C43:N43)</f>
        <v>1816863.2999999996</v>
      </c>
      <c r="P43" s="19">
        <f>P41-P42</f>
        <v>231759.44999999995</v>
      </c>
      <c r="Q43" s="19">
        <f aca="true" t="shared" si="33" ref="Q43:AA43">Q41-Q42</f>
        <v>244604.69999999995</v>
      </c>
      <c r="R43" s="19">
        <f t="shared" si="33"/>
        <v>257449.94999999995</v>
      </c>
      <c r="S43" s="19">
        <f t="shared" si="33"/>
        <v>270295.19999999995</v>
      </c>
      <c r="T43" s="19">
        <f t="shared" si="33"/>
        <v>283140.44999999995</v>
      </c>
      <c r="U43" s="19">
        <f t="shared" si="33"/>
        <v>295985.69999999995</v>
      </c>
      <c r="V43" s="19">
        <f t="shared" si="33"/>
        <v>308830.94999999995</v>
      </c>
      <c r="W43" s="19">
        <f t="shared" si="33"/>
        <v>321676.19999999995</v>
      </c>
      <c r="X43" s="19">
        <f t="shared" si="33"/>
        <v>334521.44999999995</v>
      </c>
      <c r="Y43" s="19">
        <f t="shared" si="33"/>
        <v>347366.69999999995</v>
      </c>
      <c r="Z43" s="19">
        <f t="shared" si="33"/>
        <v>360211.94999999995</v>
      </c>
      <c r="AA43" s="19">
        <f t="shared" si="33"/>
        <v>373057.19999999995</v>
      </c>
      <c r="AB43" s="66">
        <f t="shared" si="19"/>
        <v>7262626.500000001</v>
      </c>
    </row>
    <row r="44" spans="1:28" ht="15">
      <c r="A44" s="15" t="s">
        <v>2</v>
      </c>
      <c r="B44" s="39" t="s">
        <v>65</v>
      </c>
      <c r="C44" s="19">
        <f>(C11-пар!B88)*500</f>
        <v>22500</v>
      </c>
      <c r="D44" s="19">
        <f>(D12-пар!B88)*500+C38*0.1*D11</f>
        <v>29774.65</v>
      </c>
      <c r="E44" s="19">
        <f>(E13-пар!B88)*500+SUM(E36-E13)*C38*0.1</f>
        <v>37049.3</v>
      </c>
      <c r="F44" s="19">
        <f aca="true" t="shared" si="34" ref="F44:L44">SUM(F36-F13)*D38*0.1</f>
        <v>27091.800000000003</v>
      </c>
      <c r="G44" s="19">
        <f t="shared" si="34"/>
        <v>30854.550000000003</v>
      </c>
      <c r="H44" s="19">
        <f t="shared" si="34"/>
        <v>34617.3</v>
      </c>
      <c r="I44" s="19">
        <f t="shared" si="34"/>
        <v>38380.05</v>
      </c>
      <c r="J44" s="19">
        <f t="shared" si="34"/>
        <v>42142.8</v>
      </c>
      <c r="K44" s="19">
        <f t="shared" si="34"/>
        <v>45905.55</v>
      </c>
      <c r="L44" s="19">
        <f t="shared" si="34"/>
        <v>49668.3</v>
      </c>
      <c r="M44" s="19">
        <f aca="true" t="shared" si="35" ref="M44:AA44">SUM(M36-M13)*K38*0.1</f>
        <v>53431.05</v>
      </c>
      <c r="N44" s="19">
        <f t="shared" si="35"/>
        <v>57193.8</v>
      </c>
      <c r="O44" s="19">
        <f t="shared" si="35"/>
        <v>530798.6</v>
      </c>
      <c r="P44" s="19">
        <f t="shared" si="35"/>
        <v>60956.55</v>
      </c>
      <c r="Q44" s="19">
        <f t="shared" si="35"/>
        <v>64719.3</v>
      </c>
      <c r="R44" s="19">
        <f t="shared" si="35"/>
        <v>68482.05</v>
      </c>
      <c r="S44" s="19">
        <f t="shared" si="35"/>
        <v>72244.8</v>
      </c>
      <c r="T44" s="19">
        <f t="shared" si="35"/>
        <v>76007.55</v>
      </c>
      <c r="U44" s="19">
        <f t="shared" si="35"/>
        <v>79770.3</v>
      </c>
      <c r="V44" s="19">
        <f t="shared" si="35"/>
        <v>83533.05</v>
      </c>
      <c r="W44" s="19">
        <f t="shared" si="35"/>
        <v>87295.8</v>
      </c>
      <c r="X44" s="19">
        <f t="shared" si="35"/>
        <v>91058.55</v>
      </c>
      <c r="Y44" s="19">
        <f t="shared" si="35"/>
        <v>94821.3</v>
      </c>
      <c r="Z44" s="19">
        <f t="shared" si="35"/>
        <v>98584.05</v>
      </c>
      <c r="AA44" s="19">
        <f t="shared" si="35"/>
        <v>102346.8</v>
      </c>
      <c r="AB44" s="66">
        <f t="shared" si="19"/>
        <v>1979227.8500000006</v>
      </c>
    </row>
    <row r="45" spans="1:28" ht="15">
      <c r="A45" s="16" t="s">
        <v>68</v>
      </c>
      <c r="B45" s="37" t="s">
        <v>69</v>
      </c>
      <c r="C45" s="17">
        <f>C44/C41</f>
        <v>0.09441582828908028</v>
      </c>
      <c r="D45" s="17">
        <f aca="true" t="shared" si="36" ref="D45:N45">D44/D41</f>
        <v>0.08891013998099347</v>
      </c>
      <c r="E45" s="17">
        <f t="shared" si="36"/>
        <v>0.08929566921077768</v>
      </c>
      <c r="F45" s="17">
        <f t="shared" si="36"/>
        <v>0.07091267235718976</v>
      </c>
      <c r="G45" s="17">
        <f t="shared" si="36"/>
        <v>0.07423053711526857</v>
      </c>
      <c r="H45" s="17">
        <f t="shared" si="36"/>
        <v>0.07574094401756314</v>
      </c>
      <c r="I45" s="17">
        <f t="shared" si="36"/>
        <v>0.07700050327126322</v>
      </c>
      <c r="J45" s="17">
        <f t="shared" si="36"/>
        <v>0.07806691449814128</v>
      </c>
      <c r="K45" s="17">
        <f t="shared" si="36"/>
        <v>0.07898144151920589</v>
      </c>
      <c r="L45" s="17">
        <f t="shared" si="36"/>
        <v>0.07977437550362612</v>
      </c>
      <c r="M45" s="17">
        <f t="shared" si="36"/>
        <v>0.08046845485455233</v>
      </c>
      <c r="N45" s="18">
        <f t="shared" si="36"/>
        <v>0.08108108108108109</v>
      </c>
      <c r="O45" s="60">
        <f>(C45+D45+E45+F45+G45+H45+I45+J45+K45+L45+M45+N45)/12</f>
        <v>0.08073988014156191</v>
      </c>
      <c r="P45" s="14">
        <f aca="true" t="shared" si="37" ref="P45:AA45">P44/P41</f>
        <v>0.08162579778300304</v>
      </c>
      <c r="Q45" s="14">
        <f t="shared" si="37"/>
        <v>0.08211330362826226</v>
      </c>
      <c r="R45" s="14">
        <f t="shared" si="37"/>
        <v>0.08255216208043545</v>
      </c>
      <c r="S45" s="14">
        <f t="shared" si="37"/>
        <v>0.08294930875576037</v>
      </c>
      <c r="T45" s="14">
        <f t="shared" si="37"/>
        <v>0.08331042067638164</v>
      </c>
      <c r="U45" s="14">
        <f t="shared" si="37"/>
        <v>0.08364018937401368</v>
      </c>
      <c r="V45" s="14">
        <f t="shared" si="37"/>
        <v>0.08394252583816486</v>
      </c>
      <c r="W45" s="14">
        <f t="shared" si="37"/>
        <v>0.08422071636011617</v>
      </c>
      <c r="X45" s="14">
        <f t="shared" si="37"/>
        <v>0.08447754247149175</v>
      </c>
      <c r="Y45" s="14">
        <f t="shared" si="37"/>
        <v>0.08471537427162708</v>
      </c>
      <c r="Z45" s="14">
        <f t="shared" si="37"/>
        <v>0.08493624378647072</v>
      </c>
      <c r="AA45" s="14">
        <f t="shared" si="37"/>
        <v>0.08514190317195326</v>
      </c>
      <c r="AB45" s="60">
        <f>(P45+Q45+R45+S45+T45+U45+V45+W45+X45+Y45+Z45+AA45)/12</f>
        <v>0.08363545734980671</v>
      </c>
    </row>
    <row r="46" spans="1:28" ht="30">
      <c r="A46" s="15" t="s">
        <v>66</v>
      </c>
      <c r="B46" s="37" t="s">
        <v>65</v>
      </c>
      <c r="C46" s="19">
        <f>C43-C44</f>
        <v>51457.5</v>
      </c>
      <c r="D46" s="19">
        <f aca="true" t="shared" si="38" ref="D46:AA46">D43-D44</f>
        <v>74155.1</v>
      </c>
      <c r="E46" s="19">
        <f t="shared" si="38"/>
        <v>91714.60000000002</v>
      </c>
      <c r="F46" s="19">
        <f t="shared" si="38"/>
        <v>91473.75000000004</v>
      </c>
      <c r="G46" s="19">
        <f t="shared" si="38"/>
        <v>98142.89999999995</v>
      </c>
      <c r="H46" s="19">
        <f t="shared" si="38"/>
        <v>107225.39999999995</v>
      </c>
      <c r="I46" s="19">
        <f t="shared" si="38"/>
        <v>116307.89999999995</v>
      </c>
      <c r="J46" s="19">
        <f t="shared" si="38"/>
        <v>125390.39999999995</v>
      </c>
      <c r="K46" s="19">
        <f t="shared" si="38"/>
        <v>134472.89999999997</v>
      </c>
      <c r="L46" s="19">
        <f t="shared" si="38"/>
        <v>143555.39999999997</v>
      </c>
      <c r="M46" s="19">
        <f t="shared" si="38"/>
        <v>152637.89999999997</v>
      </c>
      <c r="N46" s="19">
        <f t="shared" si="38"/>
        <v>161720.39999999997</v>
      </c>
      <c r="O46" s="61">
        <f>SUM(C46:N46)</f>
        <v>1348254.1499999994</v>
      </c>
      <c r="P46" s="19">
        <f t="shared" si="38"/>
        <v>170802.89999999997</v>
      </c>
      <c r="Q46" s="19">
        <f t="shared" si="38"/>
        <v>179885.39999999997</v>
      </c>
      <c r="R46" s="19">
        <f t="shared" si="38"/>
        <v>188967.89999999997</v>
      </c>
      <c r="S46" s="19">
        <f t="shared" si="38"/>
        <v>198050.39999999997</v>
      </c>
      <c r="T46" s="19">
        <f t="shared" si="38"/>
        <v>207132.89999999997</v>
      </c>
      <c r="U46" s="19">
        <f t="shared" si="38"/>
        <v>216215.39999999997</v>
      </c>
      <c r="V46" s="19">
        <f t="shared" si="38"/>
        <v>225297.89999999997</v>
      </c>
      <c r="W46" s="19">
        <f t="shared" si="38"/>
        <v>234380.39999999997</v>
      </c>
      <c r="X46" s="19">
        <f t="shared" si="38"/>
        <v>243462.89999999997</v>
      </c>
      <c r="Y46" s="19">
        <f t="shared" si="38"/>
        <v>252545.39999999997</v>
      </c>
      <c r="Z46" s="19">
        <f t="shared" si="38"/>
        <v>261627.89999999997</v>
      </c>
      <c r="AA46" s="19">
        <f t="shared" si="38"/>
        <v>270710.39999999997</v>
      </c>
      <c r="AB46" s="62">
        <f>SUM(P46:AA46)</f>
        <v>2649079.7999999993</v>
      </c>
    </row>
    <row r="47" spans="1:28" ht="15.75" thickBot="1">
      <c r="A47" s="354" t="s">
        <v>160</v>
      </c>
      <c r="B47" s="354"/>
      <c r="C47" s="354"/>
      <c r="D47" s="354"/>
      <c r="E47" s="354"/>
      <c r="F47" s="354"/>
      <c r="G47" s="354"/>
      <c r="N47" s="12"/>
      <c r="O47" s="12"/>
      <c r="AB47" s="6">
        <f aca="true" t="shared" si="39" ref="AB47:AB74">SUM(C47:AA47)</f>
        <v>0</v>
      </c>
    </row>
    <row r="48" spans="1:28" ht="28.5">
      <c r="A48" s="348" t="s">
        <v>71</v>
      </c>
      <c r="B48" s="358" t="s">
        <v>28</v>
      </c>
      <c r="C48" s="95" t="s">
        <v>29</v>
      </c>
      <c r="D48" s="95" t="s">
        <v>30</v>
      </c>
      <c r="E48" s="95" t="s">
        <v>31</v>
      </c>
      <c r="F48" s="95" t="s">
        <v>32</v>
      </c>
      <c r="G48" s="95" t="s">
        <v>33</v>
      </c>
      <c r="H48" s="95" t="s">
        <v>34</v>
      </c>
      <c r="I48" s="95" t="s">
        <v>35</v>
      </c>
      <c r="J48" s="95" t="s">
        <v>36</v>
      </c>
      <c r="K48" s="95" t="s">
        <v>37</v>
      </c>
      <c r="L48" s="95" t="s">
        <v>38</v>
      </c>
      <c r="M48" s="95" t="s">
        <v>39</v>
      </c>
      <c r="N48" s="95" t="s">
        <v>40</v>
      </c>
      <c r="O48" s="360" t="s">
        <v>51</v>
      </c>
      <c r="P48" s="95" t="s">
        <v>53</v>
      </c>
      <c r="Q48" s="95" t="s">
        <v>54</v>
      </c>
      <c r="R48" s="95" t="s">
        <v>55</v>
      </c>
      <c r="S48" s="95" t="s">
        <v>56</v>
      </c>
      <c r="T48" s="95" t="s">
        <v>57</v>
      </c>
      <c r="U48" s="95" t="s">
        <v>58</v>
      </c>
      <c r="V48" s="95" t="s">
        <v>59</v>
      </c>
      <c r="W48" s="95" t="s">
        <v>60</v>
      </c>
      <c r="X48" s="95" t="s">
        <v>61</v>
      </c>
      <c r="Y48" s="95" t="s">
        <v>62</v>
      </c>
      <c r="Z48" s="95" t="s">
        <v>63</v>
      </c>
      <c r="AA48" s="95" t="s">
        <v>97</v>
      </c>
      <c r="AB48" s="360" t="s">
        <v>51</v>
      </c>
    </row>
    <row r="49" spans="1:28" ht="15" customHeight="1">
      <c r="A49" s="349"/>
      <c r="B49" s="359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361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361"/>
    </row>
    <row r="50" spans="1:28" ht="15" customHeight="1" hidden="1" outlineLevel="1">
      <c r="A50" s="357" t="s">
        <v>180</v>
      </c>
      <c r="B50" s="4"/>
      <c r="C50" s="24">
        <f>пар!B90</f>
        <v>20</v>
      </c>
      <c r="D50" s="1">
        <f>ROUNDUP(пар!$B$90*0.25,0)</f>
        <v>5</v>
      </c>
      <c r="E50" s="1">
        <f>ROUNDUP(пар!$B$90*0.25,0)</f>
        <v>5</v>
      </c>
      <c r="F50" s="1">
        <f>ROUNDUP(пар!$B$90*0.25,0)</f>
        <v>5</v>
      </c>
      <c r="G50" s="1">
        <f>ROUNDUP(пар!$B$90*0.25,0)</f>
        <v>5</v>
      </c>
      <c r="H50" s="1">
        <f>ROUNDUP(пар!$B$90*0.25,0)</f>
        <v>5</v>
      </c>
      <c r="I50" s="1">
        <f>ROUNDUP(пар!$B$90*0.25,0)</f>
        <v>5</v>
      </c>
      <c r="J50" s="1">
        <f>ROUNDUP(пар!$B$90*0.25,0)</f>
        <v>5</v>
      </c>
      <c r="K50" s="1">
        <f>ROUNDUP(пар!$B$90*0.25,0)</f>
        <v>5</v>
      </c>
      <c r="L50" s="1">
        <f>ROUNDUP(пар!$B$90*0.25,0)</f>
        <v>5</v>
      </c>
      <c r="M50" s="1">
        <f>ROUNDUP(пар!$B$90*0.25,0)</f>
        <v>5</v>
      </c>
      <c r="N50" s="1">
        <f>ROUNDUP(пар!$B$90*0.25,0)</f>
        <v>5</v>
      </c>
      <c r="O50" s="1">
        <f>ROUNDUP(пар!$B$90*0.25,0)</f>
        <v>5</v>
      </c>
      <c r="P50" s="1">
        <f>ROUNDUP(пар!$B$90*0.25,0)</f>
        <v>5</v>
      </c>
      <c r="Q50" s="1">
        <f>ROUNDUP(пар!$B$90*0.25,0)</f>
        <v>5</v>
      </c>
      <c r="R50" s="1">
        <f>ROUNDUP(пар!$B$90*0.25,0)</f>
        <v>5</v>
      </c>
      <c r="S50" s="1">
        <f>ROUNDUP(пар!$B$90*0.25,0)</f>
        <v>5</v>
      </c>
      <c r="T50" s="1">
        <f>ROUNDUP(пар!$B$90*0.25,0)</f>
        <v>5</v>
      </c>
      <c r="U50" s="1">
        <f>ROUNDUP(пар!$B$90*0.25,0)</f>
        <v>5</v>
      </c>
      <c r="V50" s="1">
        <f>ROUNDUP(пар!$B$90*0.25,0)</f>
        <v>5</v>
      </c>
      <c r="W50" s="1">
        <f>ROUNDUP(пар!$B$90*0.25,0)</f>
        <v>5</v>
      </c>
      <c r="X50" s="1">
        <f>ROUNDUP(пар!$B$90*0.25,0)</f>
        <v>5</v>
      </c>
      <c r="Y50" s="1">
        <f>ROUNDUP(пар!$B$90*0.25,0)</f>
        <v>5</v>
      </c>
      <c r="Z50" s="1">
        <f>ROUNDUP(пар!$B$90*0.25,0)</f>
        <v>5</v>
      </c>
      <c r="AA50" s="1">
        <f>ROUNDUP(пар!$B$90*0.25,0)</f>
        <v>5</v>
      </c>
      <c r="AB50" s="6">
        <f t="shared" si="39"/>
        <v>140</v>
      </c>
    </row>
    <row r="51" spans="1:28" ht="15" customHeight="1" hidden="1" outlineLevel="1">
      <c r="A51" s="357"/>
      <c r="B51" s="4"/>
      <c r="D51" s="24">
        <f>пар!B90</f>
        <v>20</v>
      </c>
      <c r="E51" s="1">
        <f>ROUNDUP(пар!$B$90*0.25,0)</f>
        <v>5</v>
      </c>
      <c r="F51" s="1">
        <f>ROUNDUP(пар!$B$90*0.25,0)</f>
        <v>5</v>
      </c>
      <c r="G51" s="1">
        <f>ROUNDUP(пар!$B$90*0.25,0)</f>
        <v>5</v>
      </c>
      <c r="H51" s="1">
        <f>ROUNDUP(пар!$B$90*0.25,0)</f>
        <v>5</v>
      </c>
      <c r="I51" s="1">
        <f>ROUNDUP(пар!$B$90*0.25,0)</f>
        <v>5</v>
      </c>
      <c r="J51" s="1">
        <f>ROUNDUP(пар!$B$90*0.25,0)</f>
        <v>5</v>
      </c>
      <c r="K51" s="1">
        <f>ROUNDUP(пар!$B$90*0.25,0)</f>
        <v>5</v>
      </c>
      <c r="L51" s="1">
        <f>ROUNDUP(пар!$B$90*0.25,0)</f>
        <v>5</v>
      </c>
      <c r="M51" s="1">
        <f>ROUNDUP(пар!$B$90*0.25,0)</f>
        <v>5</v>
      </c>
      <c r="N51" s="1">
        <f>ROUNDUP(пар!$B$90*0.25,0)</f>
        <v>5</v>
      </c>
      <c r="O51" s="1">
        <f>ROUNDUP(пар!$B$90*0.25,0)</f>
        <v>5</v>
      </c>
      <c r="P51" s="1">
        <f>ROUNDUP(пар!$B$90*0.25,0)</f>
        <v>5</v>
      </c>
      <c r="Q51" s="1">
        <f>ROUNDUP(пар!$B$90*0.25,0)</f>
        <v>5</v>
      </c>
      <c r="R51" s="1">
        <f>ROUNDUP(пар!$B$90*0.25,0)</f>
        <v>5</v>
      </c>
      <c r="S51" s="1">
        <f>ROUNDUP(пар!$B$90*0.25,0)</f>
        <v>5</v>
      </c>
      <c r="T51" s="1">
        <f>ROUNDUP(пар!$B$90*0.25,0)</f>
        <v>5</v>
      </c>
      <c r="U51" s="1">
        <f>ROUNDUP(пар!$B$90*0.25,0)</f>
        <v>5</v>
      </c>
      <c r="V51" s="1">
        <f>ROUNDUP(пар!$B$90*0.25,0)</f>
        <v>5</v>
      </c>
      <c r="W51" s="1">
        <f>ROUNDUP(пар!$B$90*0.25,0)</f>
        <v>5</v>
      </c>
      <c r="X51" s="1">
        <f>ROUNDUP(пар!$B$90*0.25,0)</f>
        <v>5</v>
      </c>
      <c r="Y51" s="1">
        <f>ROUNDUP(пар!$B$90*0.25,0)</f>
        <v>5</v>
      </c>
      <c r="Z51" s="1">
        <f>ROUNDUP(пар!$B$90*0.25,0)</f>
        <v>5</v>
      </c>
      <c r="AA51" s="1">
        <f>ROUNDUP(пар!$B$90*0.25,0)</f>
        <v>5</v>
      </c>
      <c r="AB51" s="6">
        <f t="shared" si="39"/>
        <v>135</v>
      </c>
    </row>
    <row r="52" spans="1:28" ht="15" customHeight="1" hidden="1" outlineLevel="1">
      <c r="A52" s="357"/>
      <c r="B52" s="4"/>
      <c r="E52" s="24">
        <f>пар!B90</f>
        <v>20</v>
      </c>
      <c r="F52" s="1">
        <f>ROUNDUP(пар!$B$90*0.25,0)</f>
        <v>5</v>
      </c>
      <c r="G52" s="1">
        <f>ROUNDUP(пар!$B$90*0.25,0)</f>
        <v>5</v>
      </c>
      <c r="H52" s="1">
        <f>ROUNDUP(пар!$B$90*0.25,0)</f>
        <v>5</v>
      </c>
      <c r="I52" s="1">
        <f>ROUNDUP(пар!$B$90*0.25,0)</f>
        <v>5</v>
      </c>
      <c r="J52" s="1">
        <f>ROUNDUP(пар!$B$90*0.25,0)</f>
        <v>5</v>
      </c>
      <c r="K52" s="1">
        <f>ROUNDUP(пар!$B$90*0.25,0)</f>
        <v>5</v>
      </c>
      <c r="L52" s="1">
        <f>ROUNDUP(пар!$B$90*0.25,0)</f>
        <v>5</v>
      </c>
      <c r="M52" s="1">
        <f>ROUNDUP(пар!$B$90*0.25,0)</f>
        <v>5</v>
      </c>
      <c r="N52" s="1">
        <f>ROUNDUP(пар!$B$90*0.25,0)</f>
        <v>5</v>
      </c>
      <c r="O52" s="1">
        <f>ROUNDUP(пар!$B$90*0.25,0)</f>
        <v>5</v>
      </c>
      <c r="P52" s="1">
        <f>ROUNDUP(пар!$B$90*0.25,0)</f>
        <v>5</v>
      </c>
      <c r="Q52" s="1">
        <f>ROUNDUP(пар!$B$90*0.25,0)</f>
        <v>5</v>
      </c>
      <c r="R52" s="1">
        <f>ROUNDUP(пар!$B$90*0.25,0)</f>
        <v>5</v>
      </c>
      <c r="S52" s="1">
        <f>ROUNDUP(пар!$B$90*0.25,0)</f>
        <v>5</v>
      </c>
      <c r="T52" s="1">
        <f>ROUNDUP(пар!$B$90*0.25,0)</f>
        <v>5</v>
      </c>
      <c r="U52" s="1">
        <f>ROUNDUP(пар!$B$90*0.25,0)</f>
        <v>5</v>
      </c>
      <c r="V52" s="1">
        <f>ROUNDUP(пар!$B$90*0.25,0)</f>
        <v>5</v>
      </c>
      <c r="W52" s="1">
        <f>ROUNDUP(пар!$B$90*0.25,0)</f>
        <v>5</v>
      </c>
      <c r="X52" s="1">
        <f>ROUNDUP(пар!$B$90*0.25,0)</f>
        <v>5</v>
      </c>
      <c r="Y52" s="1">
        <f>ROUNDUP(пар!$B$90*0.25,0)</f>
        <v>5</v>
      </c>
      <c r="Z52" s="1">
        <f>ROUNDUP(пар!$B$90*0.25,0)</f>
        <v>5</v>
      </c>
      <c r="AA52" s="1">
        <f>ROUNDUP(пар!$B$90*0.25,0)</f>
        <v>5</v>
      </c>
      <c r="AB52" s="6">
        <f t="shared" si="39"/>
        <v>130</v>
      </c>
    </row>
    <row r="53" spans="1:28" ht="15" customHeight="1" hidden="1" outlineLevel="1">
      <c r="A53" s="357"/>
      <c r="B53" s="4"/>
      <c r="F53" s="24">
        <f>пар!B90</f>
        <v>20</v>
      </c>
      <c r="G53" s="1">
        <f>ROUNDUP(пар!$B$90*0.25,0)</f>
        <v>5</v>
      </c>
      <c r="H53" s="1">
        <f>ROUNDUP(пар!$B$90*0.25,0)</f>
        <v>5</v>
      </c>
      <c r="I53" s="1">
        <f>ROUNDUP(пар!$B$90*0.25,0)</f>
        <v>5</v>
      </c>
      <c r="J53" s="1">
        <f>ROUNDUP(пар!$B$90*0.25,0)</f>
        <v>5</v>
      </c>
      <c r="K53" s="1">
        <f>ROUNDUP(пар!$B$90*0.25,0)</f>
        <v>5</v>
      </c>
      <c r="L53" s="1">
        <f>ROUNDUP(пар!$B$90*0.25,0)</f>
        <v>5</v>
      </c>
      <c r="M53" s="1">
        <f>ROUNDUP(пар!$B$90*0.25,0)</f>
        <v>5</v>
      </c>
      <c r="N53" s="1">
        <f>ROUNDUP(пар!$B$90*0.25,0)</f>
        <v>5</v>
      </c>
      <c r="O53" s="1">
        <f>ROUNDUP(пар!$B$90*0.25,0)</f>
        <v>5</v>
      </c>
      <c r="P53" s="1">
        <f>ROUNDUP(пар!$B$90*0.25,0)</f>
        <v>5</v>
      </c>
      <c r="Q53" s="1">
        <f>ROUNDUP(пар!$B$90*0.25,0)</f>
        <v>5</v>
      </c>
      <c r="R53" s="1">
        <f>ROUNDUP(пар!$B$90*0.25,0)</f>
        <v>5</v>
      </c>
      <c r="S53" s="1">
        <f>ROUNDUP(пар!$B$90*0.25,0)</f>
        <v>5</v>
      </c>
      <c r="T53" s="1">
        <f>ROUNDUP(пар!$B$90*0.25,0)</f>
        <v>5</v>
      </c>
      <c r="U53" s="1">
        <f>ROUNDUP(пар!$B$90*0.25,0)</f>
        <v>5</v>
      </c>
      <c r="V53" s="1">
        <f>ROUNDUP(пар!$B$90*0.25,0)</f>
        <v>5</v>
      </c>
      <c r="W53" s="1">
        <f>ROUNDUP(пар!$B$90*0.25,0)</f>
        <v>5</v>
      </c>
      <c r="X53" s="1">
        <f>ROUNDUP(пар!$B$90*0.25,0)</f>
        <v>5</v>
      </c>
      <c r="Y53" s="1">
        <f>ROUNDUP(пар!$B$90*0.25,0)</f>
        <v>5</v>
      </c>
      <c r="Z53" s="1">
        <f>ROUNDUP(пар!$B$90*0.25,0)</f>
        <v>5</v>
      </c>
      <c r="AA53" s="1">
        <f>ROUNDUP(пар!$B$90*0.25,0)</f>
        <v>5</v>
      </c>
      <c r="AB53" s="6">
        <f t="shared" si="39"/>
        <v>125</v>
      </c>
    </row>
    <row r="54" spans="1:28" ht="15" customHeight="1" hidden="1" outlineLevel="1">
      <c r="A54" s="357"/>
      <c r="B54" s="4"/>
      <c r="G54" s="24">
        <f>пар!B90</f>
        <v>20</v>
      </c>
      <c r="H54" s="1">
        <f>ROUNDUP(пар!$B$90*0.25,0)</f>
        <v>5</v>
      </c>
      <c r="I54" s="1">
        <f>ROUNDUP(пар!$B$90*0.25,0)</f>
        <v>5</v>
      </c>
      <c r="J54" s="1">
        <f>ROUNDUP(пар!$B$90*0.25,0)</f>
        <v>5</v>
      </c>
      <c r="K54" s="1">
        <f>ROUNDUP(пар!$B$90*0.25,0)</f>
        <v>5</v>
      </c>
      <c r="L54" s="1">
        <f>ROUNDUP(пар!$B$90*0.25,0)</f>
        <v>5</v>
      </c>
      <c r="M54" s="1">
        <f>ROUNDUP(пар!$B$90*0.25,0)</f>
        <v>5</v>
      </c>
      <c r="N54" s="1">
        <f>ROUNDUP(пар!$B$90*0.25,0)</f>
        <v>5</v>
      </c>
      <c r="O54" s="1">
        <f>ROUNDUP(пар!$B$90*0.25,0)</f>
        <v>5</v>
      </c>
      <c r="P54" s="1">
        <f>ROUNDUP(пар!$B$90*0.25,0)</f>
        <v>5</v>
      </c>
      <c r="Q54" s="1">
        <f>ROUNDUP(пар!$B$90*0.25,0)</f>
        <v>5</v>
      </c>
      <c r="R54" s="1">
        <f>ROUNDUP(пар!$B$90*0.25,0)</f>
        <v>5</v>
      </c>
      <c r="S54" s="1">
        <f>ROUNDUP(пар!$B$90*0.25,0)</f>
        <v>5</v>
      </c>
      <c r="T54" s="1">
        <f>ROUNDUP(пар!$B$90*0.25,0)</f>
        <v>5</v>
      </c>
      <c r="U54" s="1">
        <f>ROUNDUP(пар!$B$90*0.25,0)</f>
        <v>5</v>
      </c>
      <c r="V54" s="1">
        <f>ROUNDUP(пар!$B$90*0.25,0)</f>
        <v>5</v>
      </c>
      <c r="W54" s="1">
        <f>ROUNDUP(пар!$B$90*0.25,0)</f>
        <v>5</v>
      </c>
      <c r="X54" s="1">
        <f>ROUNDUP(пар!$B$90*0.25,0)</f>
        <v>5</v>
      </c>
      <c r="Y54" s="1">
        <f>ROUNDUP(пар!$B$90*0.25,0)</f>
        <v>5</v>
      </c>
      <c r="Z54" s="1">
        <f>ROUNDUP(пар!$B$90*0.25,0)</f>
        <v>5</v>
      </c>
      <c r="AA54" s="1">
        <f>ROUNDUP(пар!$B$90*0.25,0)</f>
        <v>5</v>
      </c>
      <c r="AB54" s="6">
        <f t="shared" si="39"/>
        <v>120</v>
      </c>
    </row>
    <row r="55" spans="1:28" ht="15" customHeight="1" hidden="1" outlineLevel="1">
      <c r="A55" s="357"/>
      <c r="B55" s="4"/>
      <c r="H55" s="24">
        <f>пар!B90</f>
        <v>20</v>
      </c>
      <c r="I55" s="1">
        <f>ROUNDUP(пар!$B$90*0.25,0)</f>
        <v>5</v>
      </c>
      <c r="J55" s="1">
        <f>ROUNDUP(пар!$B$90*0.25,0)</f>
        <v>5</v>
      </c>
      <c r="K55" s="1">
        <f>ROUNDUP(пар!$B$90*0.25,0)</f>
        <v>5</v>
      </c>
      <c r="L55" s="1">
        <f>ROUNDUP(пар!$B$90*0.25,0)</f>
        <v>5</v>
      </c>
      <c r="M55" s="1">
        <f>ROUNDUP(пар!$B$90*0.25,0)</f>
        <v>5</v>
      </c>
      <c r="N55" s="1">
        <f>ROUNDUP(пар!$B$90*0.25,0)</f>
        <v>5</v>
      </c>
      <c r="O55" s="1">
        <f>ROUNDUP(пар!$B$90*0.25,0)</f>
        <v>5</v>
      </c>
      <c r="P55" s="1">
        <f>ROUNDUP(пар!$B$90*0.25,0)</f>
        <v>5</v>
      </c>
      <c r="Q55" s="1">
        <f>ROUNDUP(пар!$B$90*0.25,0)</f>
        <v>5</v>
      </c>
      <c r="R55" s="1">
        <f>ROUNDUP(пар!$B$90*0.25,0)</f>
        <v>5</v>
      </c>
      <c r="S55" s="1">
        <f>ROUNDUP(пар!$B$90*0.25,0)</f>
        <v>5</v>
      </c>
      <c r="T55" s="1">
        <f>ROUNDUP(пар!$B$90*0.25,0)</f>
        <v>5</v>
      </c>
      <c r="U55" s="1">
        <f>ROUNDUP(пар!$B$90*0.25,0)</f>
        <v>5</v>
      </c>
      <c r="V55" s="1">
        <f>ROUNDUP(пар!$B$90*0.25,0)</f>
        <v>5</v>
      </c>
      <c r="W55" s="1">
        <f>ROUNDUP(пар!$B$90*0.25,0)</f>
        <v>5</v>
      </c>
      <c r="X55" s="1">
        <f>ROUNDUP(пар!$B$90*0.25,0)</f>
        <v>5</v>
      </c>
      <c r="Y55" s="1">
        <f>ROUNDUP(пар!$B$90*0.25,0)</f>
        <v>5</v>
      </c>
      <c r="Z55" s="1">
        <f>ROUNDUP(пар!$B$90*0.25,0)</f>
        <v>5</v>
      </c>
      <c r="AA55" s="1">
        <f>ROUNDUP(пар!$B$90*0.25,0)</f>
        <v>5</v>
      </c>
      <c r="AB55" s="6">
        <f t="shared" si="39"/>
        <v>115</v>
      </c>
    </row>
    <row r="56" spans="1:28" ht="15" customHeight="1" hidden="1" outlineLevel="1">
      <c r="A56" s="357"/>
      <c r="B56" s="4"/>
      <c r="I56" s="24">
        <f>пар!B90</f>
        <v>20</v>
      </c>
      <c r="J56" s="1">
        <f>ROUNDUP(пар!$B$90*0.25,0)</f>
        <v>5</v>
      </c>
      <c r="K56" s="1">
        <f>ROUNDUP(пар!$B$90*0.25,0)</f>
        <v>5</v>
      </c>
      <c r="L56" s="1">
        <f>ROUNDUP(пар!$B$90*0.25,0)</f>
        <v>5</v>
      </c>
      <c r="M56" s="1">
        <f>ROUNDUP(пар!$B$90*0.25,0)</f>
        <v>5</v>
      </c>
      <c r="N56" s="1">
        <f>ROUNDUP(пар!$B$90*0.25,0)</f>
        <v>5</v>
      </c>
      <c r="O56" s="1">
        <f>ROUNDUP(пар!$B$90*0.25,0)</f>
        <v>5</v>
      </c>
      <c r="P56" s="1">
        <f>ROUNDUP(пар!$B$90*0.25,0)</f>
        <v>5</v>
      </c>
      <c r="Q56" s="1">
        <f>ROUNDUP(пар!$B$90*0.25,0)</f>
        <v>5</v>
      </c>
      <c r="R56" s="1">
        <f>ROUNDUP(пар!$B$90*0.25,0)</f>
        <v>5</v>
      </c>
      <c r="S56" s="1">
        <f>ROUNDUP(пар!$B$90*0.25,0)</f>
        <v>5</v>
      </c>
      <c r="T56" s="1">
        <f>ROUNDUP(пар!$B$90*0.25,0)</f>
        <v>5</v>
      </c>
      <c r="U56" s="1">
        <f>ROUNDUP(пар!$B$90*0.25,0)</f>
        <v>5</v>
      </c>
      <c r="V56" s="1">
        <f>ROUNDUP(пар!$B$90*0.25,0)</f>
        <v>5</v>
      </c>
      <c r="W56" s="1">
        <f>ROUNDUP(пар!$B$90*0.25,0)</f>
        <v>5</v>
      </c>
      <c r="X56" s="1">
        <f>ROUNDUP(пар!$B$90*0.25,0)</f>
        <v>5</v>
      </c>
      <c r="Y56" s="1">
        <f>ROUNDUP(пар!$B$90*0.25,0)</f>
        <v>5</v>
      </c>
      <c r="Z56" s="1">
        <f>ROUNDUP(пар!$B$90*0.25,0)</f>
        <v>5</v>
      </c>
      <c r="AA56" s="1">
        <f>ROUNDUP(пар!$B$90*0.25,0)</f>
        <v>5</v>
      </c>
      <c r="AB56" s="6">
        <f t="shared" si="39"/>
        <v>110</v>
      </c>
    </row>
    <row r="57" spans="1:28" ht="15" customHeight="1" hidden="1" outlineLevel="1">
      <c r="A57" s="357"/>
      <c r="B57" s="4"/>
      <c r="J57" s="260">
        <f>пар!B90</f>
        <v>20</v>
      </c>
      <c r="K57" s="1">
        <f>ROUNDUP(пар!$B$90*0.25,0)</f>
        <v>5</v>
      </c>
      <c r="L57" s="1">
        <f>ROUNDUP(пар!$B$90*0.25,0)</f>
        <v>5</v>
      </c>
      <c r="M57" s="1">
        <f>ROUNDUP(пар!$B$90*0.25,0)</f>
        <v>5</v>
      </c>
      <c r="N57" s="1">
        <f>ROUNDUP(пар!$B$90*0.25,0)</f>
        <v>5</v>
      </c>
      <c r="O57" s="1">
        <f>ROUNDUP(пар!$B$90*0.25,0)</f>
        <v>5</v>
      </c>
      <c r="P57" s="1">
        <f>ROUNDUP(пар!$B$90*0.25,0)</f>
        <v>5</v>
      </c>
      <c r="Q57" s="1">
        <f>ROUNDUP(пар!$B$90*0.25,0)</f>
        <v>5</v>
      </c>
      <c r="R57" s="1">
        <f>ROUNDUP(пар!$B$90*0.25,0)</f>
        <v>5</v>
      </c>
      <c r="S57" s="1">
        <f>ROUNDUP(пар!$B$90*0.25,0)</f>
        <v>5</v>
      </c>
      <c r="T57" s="1">
        <f>ROUNDUP(пар!$B$90*0.25,0)</f>
        <v>5</v>
      </c>
      <c r="U57" s="1">
        <f>ROUNDUP(пар!$B$90*0.25,0)</f>
        <v>5</v>
      </c>
      <c r="V57" s="1">
        <f>ROUNDUP(пар!$B$90*0.25,0)</f>
        <v>5</v>
      </c>
      <c r="W57" s="1">
        <f>ROUNDUP(пар!$B$90*0.25,0)</f>
        <v>5</v>
      </c>
      <c r="X57" s="1">
        <f>ROUNDUP(пар!$B$90*0.25,0)</f>
        <v>5</v>
      </c>
      <c r="Y57" s="1">
        <f>ROUNDUP(пар!$B$90*0.25,0)</f>
        <v>5</v>
      </c>
      <c r="Z57" s="1">
        <f>ROUNDUP(пар!$B$90*0.25,0)</f>
        <v>5</v>
      </c>
      <c r="AA57" s="1">
        <f>ROUNDUP(пар!$B$90*0.25,0)</f>
        <v>5</v>
      </c>
      <c r="AB57" s="6">
        <f t="shared" si="39"/>
        <v>105</v>
      </c>
    </row>
    <row r="58" spans="1:28" ht="15" customHeight="1" hidden="1" outlineLevel="1">
      <c r="A58" s="357"/>
      <c r="B58" s="4"/>
      <c r="K58" s="24">
        <f>пар!B90</f>
        <v>20</v>
      </c>
      <c r="L58" s="1">
        <f>ROUNDUP(пар!$B$90*0.25,0)</f>
        <v>5</v>
      </c>
      <c r="M58" s="1">
        <f>ROUNDUP(пар!$B$90*0.25,0)</f>
        <v>5</v>
      </c>
      <c r="N58" s="1">
        <f>ROUNDUP(пар!$B$90*0.25,0)</f>
        <v>5</v>
      </c>
      <c r="O58" s="1">
        <f>ROUNDUP(пар!$B$90*0.25,0)</f>
        <v>5</v>
      </c>
      <c r="P58" s="1">
        <f>ROUNDUP(пар!$B$90*0.25,0)</f>
        <v>5</v>
      </c>
      <c r="Q58" s="1">
        <f>ROUNDUP(пар!$B$90*0.25,0)</f>
        <v>5</v>
      </c>
      <c r="R58" s="1">
        <f>ROUNDUP(пар!$B$90*0.25,0)</f>
        <v>5</v>
      </c>
      <c r="S58" s="1">
        <f>ROUNDUP(пар!$B$90*0.25,0)</f>
        <v>5</v>
      </c>
      <c r="T58" s="1">
        <f>ROUNDUP(пар!$B$90*0.25,0)</f>
        <v>5</v>
      </c>
      <c r="U58" s="1">
        <f>ROUNDUP(пар!$B$90*0.25,0)</f>
        <v>5</v>
      </c>
      <c r="V58" s="1">
        <f>ROUNDUP(пар!$B$90*0.25,0)</f>
        <v>5</v>
      </c>
      <c r="W58" s="1">
        <f>ROUNDUP(пар!$B$90*0.25,0)</f>
        <v>5</v>
      </c>
      <c r="X58" s="1">
        <f>ROUNDUP(пар!$B$90*0.25,0)</f>
        <v>5</v>
      </c>
      <c r="Y58" s="1">
        <f>ROUNDUP(пар!$B$90*0.25,0)</f>
        <v>5</v>
      </c>
      <c r="Z58" s="1">
        <f>ROUNDUP(пар!$B$90*0.25,0)</f>
        <v>5</v>
      </c>
      <c r="AA58" s="1">
        <f>ROUNDUP(пар!$B$90*0.25,0)</f>
        <v>5</v>
      </c>
      <c r="AB58" s="6">
        <f t="shared" si="39"/>
        <v>100</v>
      </c>
    </row>
    <row r="59" spans="1:28" ht="15" customHeight="1" hidden="1" outlineLevel="1">
      <c r="A59" s="357"/>
      <c r="B59" s="4"/>
      <c r="L59" s="24">
        <f>пар!B90</f>
        <v>20</v>
      </c>
      <c r="M59" s="1">
        <f>ROUNDUP(пар!$B$90*0.25,0)</f>
        <v>5</v>
      </c>
      <c r="N59" s="1">
        <f>ROUNDUP(пар!$B$90*0.25,0)</f>
        <v>5</v>
      </c>
      <c r="O59" s="1">
        <f>ROUNDUP(пар!$B$90*0.25,0)</f>
        <v>5</v>
      </c>
      <c r="P59" s="1">
        <f>ROUNDUP(пар!$B$90*0.25,0)</f>
        <v>5</v>
      </c>
      <c r="Q59" s="1">
        <f>ROUNDUP(пар!$B$90*0.25,0)</f>
        <v>5</v>
      </c>
      <c r="R59" s="1">
        <f>ROUNDUP(пар!$B$90*0.25,0)</f>
        <v>5</v>
      </c>
      <c r="S59" s="1">
        <f>ROUNDUP(пар!$B$90*0.25,0)</f>
        <v>5</v>
      </c>
      <c r="T59" s="1">
        <f>ROUNDUP(пар!$B$90*0.25,0)</f>
        <v>5</v>
      </c>
      <c r="U59" s="1">
        <f>ROUNDUP(пар!$B$90*0.25,0)</f>
        <v>5</v>
      </c>
      <c r="V59" s="1">
        <f>ROUNDUP(пар!$B$90*0.25,0)</f>
        <v>5</v>
      </c>
      <c r="W59" s="1">
        <f>ROUNDUP(пар!$B$90*0.25,0)</f>
        <v>5</v>
      </c>
      <c r="X59" s="1">
        <f>ROUNDUP(пар!$B$90*0.25,0)</f>
        <v>5</v>
      </c>
      <c r="Y59" s="1">
        <f>ROUNDUP(пар!$B$90*0.25,0)</f>
        <v>5</v>
      </c>
      <c r="Z59" s="1">
        <f>ROUNDUP(пар!$B$90*0.25,0)</f>
        <v>5</v>
      </c>
      <c r="AA59" s="1">
        <f>ROUNDUP(пар!$B$90*0.25,0)</f>
        <v>5</v>
      </c>
      <c r="AB59" s="6">
        <f t="shared" si="39"/>
        <v>95</v>
      </c>
    </row>
    <row r="60" spans="1:28" ht="15" customHeight="1" hidden="1" outlineLevel="1">
      <c r="A60" s="357"/>
      <c r="B60" s="4"/>
      <c r="M60" s="24">
        <f>пар!B90</f>
        <v>20</v>
      </c>
      <c r="N60" s="1">
        <f>ROUNDUP(пар!$B$90*0.25,0)</f>
        <v>5</v>
      </c>
      <c r="O60" s="1">
        <f>ROUNDUP(пар!$B$90*0.25,0)</f>
        <v>5</v>
      </c>
      <c r="P60" s="1">
        <f>ROUNDUP(пар!$B$90*0.25,0)</f>
        <v>5</v>
      </c>
      <c r="Q60" s="1">
        <f>ROUNDUP(пар!$B$90*0.25,0)</f>
        <v>5</v>
      </c>
      <c r="R60" s="1">
        <f>ROUNDUP(пар!$B$90*0.25,0)</f>
        <v>5</v>
      </c>
      <c r="S60" s="1">
        <f>ROUNDUP(пар!$B$90*0.25,0)</f>
        <v>5</v>
      </c>
      <c r="T60" s="1">
        <f>ROUNDUP(пар!$B$90*0.25,0)</f>
        <v>5</v>
      </c>
      <c r="U60" s="1">
        <f>ROUNDUP(пар!$B$90*0.25,0)</f>
        <v>5</v>
      </c>
      <c r="V60" s="1">
        <f>ROUNDUP(пар!$B$90*0.25,0)</f>
        <v>5</v>
      </c>
      <c r="W60" s="1">
        <f>ROUNDUP(пар!$B$90*0.25,0)</f>
        <v>5</v>
      </c>
      <c r="X60" s="1">
        <f>ROUNDUP(пар!$B$90*0.25,0)</f>
        <v>5</v>
      </c>
      <c r="Y60" s="1">
        <f>ROUNDUP(пар!$B$90*0.25,0)</f>
        <v>5</v>
      </c>
      <c r="Z60" s="1">
        <f>ROUNDUP(пар!$B$90*0.25,0)</f>
        <v>5</v>
      </c>
      <c r="AA60" s="1">
        <f>ROUNDUP(пар!$B$90*0.25,0)</f>
        <v>5</v>
      </c>
      <c r="AB60" s="6">
        <f t="shared" si="39"/>
        <v>90</v>
      </c>
    </row>
    <row r="61" spans="1:28" ht="15" customHeight="1" hidden="1" outlineLevel="1">
      <c r="A61" s="357"/>
      <c r="B61" s="4"/>
      <c r="N61" s="261">
        <f>пар!B90</f>
        <v>20</v>
      </c>
      <c r="P61" s="1">
        <f>ROUNDUP(пар!$B$90*0.25,0)</f>
        <v>5</v>
      </c>
      <c r="Q61" s="1">
        <f>ROUNDUP(пар!$B$90*0.25,0)</f>
        <v>5</v>
      </c>
      <c r="R61" s="1">
        <f>ROUNDUP(пар!$B$90*0.25,0)</f>
        <v>5</v>
      </c>
      <c r="S61" s="1">
        <f>ROUNDUP(пар!$B$90*0.25,0)</f>
        <v>5</v>
      </c>
      <c r="T61" s="1">
        <f>ROUNDUP(пар!$B$90*0.25,0)</f>
        <v>5</v>
      </c>
      <c r="U61" s="1">
        <f>ROUNDUP(пар!$B$90*0.25,0)</f>
        <v>5</v>
      </c>
      <c r="V61" s="1">
        <f>ROUNDUP(пар!$B$90*0.25,0)</f>
        <v>5</v>
      </c>
      <c r="W61" s="1">
        <f>ROUNDUP(пар!$B$90*0.25,0)</f>
        <v>5</v>
      </c>
      <c r="X61" s="1">
        <f>ROUNDUP(пар!$B$90*0.25,0)</f>
        <v>5</v>
      </c>
      <c r="Y61" s="1">
        <f>ROUNDUP(пар!$B$90*0.25,0)</f>
        <v>5</v>
      </c>
      <c r="Z61" s="1">
        <f>ROUNDUP(пар!$B$90*0.25,0)</f>
        <v>5</v>
      </c>
      <c r="AA61" s="1">
        <f>ROUNDUP(пар!$B$90*0.25,0)</f>
        <v>5</v>
      </c>
      <c r="AB61" s="6">
        <f t="shared" si="39"/>
        <v>80</v>
      </c>
    </row>
    <row r="62" spans="1:28" ht="15" customHeight="1" hidden="1" outlineLevel="1">
      <c r="A62" s="357"/>
      <c r="B62" s="4"/>
      <c r="P62" s="24">
        <f>пар!B90</f>
        <v>20</v>
      </c>
      <c r="Q62" s="1">
        <f>ROUNDUP(пар!$B$90*0.25,0)</f>
        <v>5</v>
      </c>
      <c r="R62" s="1">
        <f>ROUNDUP(пар!$B$90*0.25,0)</f>
        <v>5</v>
      </c>
      <c r="S62" s="1">
        <f>ROUNDUP(пар!$B$90*0.25,0)</f>
        <v>5</v>
      </c>
      <c r="T62" s="1">
        <f>ROUNDUP(пар!$B$90*0.25,0)</f>
        <v>5</v>
      </c>
      <c r="U62" s="1">
        <f>ROUNDUP(пар!$B$90*0.25,0)</f>
        <v>5</v>
      </c>
      <c r="V62" s="1">
        <f>ROUNDUP(пар!$B$90*0.25,0)</f>
        <v>5</v>
      </c>
      <c r="W62" s="1">
        <f>ROUNDUP(пар!$B$90*0.25,0)</f>
        <v>5</v>
      </c>
      <c r="X62" s="1">
        <f>ROUNDUP(пар!$B$90*0.25,0)</f>
        <v>5</v>
      </c>
      <c r="Y62" s="1">
        <f>ROUNDUP(пар!$B$90*0.25,0)</f>
        <v>5</v>
      </c>
      <c r="Z62" s="1">
        <f>ROUNDUP(пар!$B$90*0.25,0)</f>
        <v>5</v>
      </c>
      <c r="AA62" s="1">
        <f>ROUNDUP(пар!$B$90*0.25,0)</f>
        <v>5</v>
      </c>
      <c r="AB62" s="6">
        <f t="shared" si="39"/>
        <v>75</v>
      </c>
    </row>
    <row r="63" spans="1:28" ht="15" customHeight="1" hidden="1" outlineLevel="1">
      <c r="A63" s="357"/>
      <c r="B63" s="4"/>
      <c r="Q63" s="24">
        <f>пар!B90</f>
        <v>20</v>
      </c>
      <c r="R63" s="1">
        <f>ROUNDUP(пар!$B$90*0.25,0)</f>
        <v>5</v>
      </c>
      <c r="S63" s="1">
        <f>ROUNDUP(пар!$B$90*0.25,0)</f>
        <v>5</v>
      </c>
      <c r="T63" s="1">
        <f>ROUNDUP(пар!$B$90*0.25,0)</f>
        <v>5</v>
      </c>
      <c r="U63" s="1">
        <f>ROUNDUP(пар!$B$90*0.25,0)</f>
        <v>5</v>
      </c>
      <c r="V63" s="1">
        <f>ROUNDUP(пар!$B$90*0.25,0)</f>
        <v>5</v>
      </c>
      <c r="W63" s="1">
        <f>ROUNDUP(пар!$B$90*0.25,0)</f>
        <v>5</v>
      </c>
      <c r="X63" s="1">
        <f>ROUNDUP(пар!$B$90*0.25,0)</f>
        <v>5</v>
      </c>
      <c r="Y63" s="1">
        <f>ROUNDUP(пар!$B$90*0.25,0)</f>
        <v>5</v>
      </c>
      <c r="Z63" s="1">
        <f>ROUNDUP(пар!$B$90*0.25,0)</f>
        <v>5</v>
      </c>
      <c r="AA63" s="1">
        <f>ROUNDUP(пар!$B$90*0.25,0)</f>
        <v>5</v>
      </c>
      <c r="AB63" s="6">
        <f t="shared" si="39"/>
        <v>70</v>
      </c>
    </row>
    <row r="64" spans="1:28" ht="15" customHeight="1" hidden="1" outlineLevel="1">
      <c r="A64" s="357"/>
      <c r="B64" s="4"/>
      <c r="R64" s="24">
        <f>пар!B90</f>
        <v>20</v>
      </c>
      <c r="S64" s="1">
        <f>ROUNDUP(пар!$B$90*0.25,0)</f>
        <v>5</v>
      </c>
      <c r="T64" s="1">
        <f>ROUNDUP(пар!$B$90*0.25,0)</f>
        <v>5</v>
      </c>
      <c r="U64" s="1">
        <f>ROUNDUP(пар!$B$90*0.25,0)</f>
        <v>5</v>
      </c>
      <c r="V64" s="1">
        <f>ROUNDUP(пар!$B$90*0.25,0)</f>
        <v>5</v>
      </c>
      <c r="W64" s="1">
        <f>ROUNDUP(пар!$B$90*0.25,0)</f>
        <v>5</v>
      </c>
      <c r="X64" s="1">
        <f>ROUNDUP(пар!$B$90*0.25,0)</f>
        <v>5</v>
      </c>
      <c r="Y64" s="1">
        <f>ROUNDUP(пар!$B$90*0.25,0)</f>
        <v>5</v>
      </c>
      <c r="Z64" s="1">
        <f>ROUNDUP(пар!$B$90*0.25,0)</f>
        <v>5</v>
      </c>
      <c r="AA64" s="1">
        <f>ROUNDUP(пар!$B$90*0.25,0)</f>
        <v>5</v>
      </c>
      <c r="AB64" s="6">
        <f t="shared" si="39"/>
        <v>65</v>
      </c>
    </row>
    <row r="65" spans="1:28" ht="15" customHeight="1" hidden="1" outlineLevel="1">
      <c r="A65" s="357"/>
      <c r="B65" s="4"/>
      <c r="S65" s="24">
        <f>пар!B90</f>
        <v>20</v>
      </c>
      <c r="T65" s="1">
        <f>ROUNDUP(пар!$B$90*0.25,0)</f>
        <v>5</v>
      </c>
      <c r="U65" s="1">
        <f>ROUNDUP(пар!$B$90*0.25,0)</f>
        <v>5</v>
      </c>
      <c r="V65" s="1">
        <f>ROUNDUP(пар!$B$90*0.25,0)</f>
        <v>5</v>
      </c>
      <c r="W65" s="1">
        <f>ROUNDUP(пар!$B$90*0.25,0)</f>
        <v>5</v>
      </c>
      <c r="X65" s="1">
        <f>ROUNDUP(пар!$B$90*0.25,0)</f>
        <v>5</v>
      </c>
      <c r="Y65" s="1">
        <f>ROUNDUP(пар!$B$90*0.25,0)</f>
        <v>5</v>
      </c>
      <c r="Z65" s="1">
        <f>ROUNDUP(пар!$B$90*0.25,0)</f>
        <v>5</v>
      </c>
      <c r="AA65" s="1">
        <f>ROUNDUP(пар!$B$90*0.25,0)</f>
        <v>5</v>
      </c>
      <c r="AB65" s="6">
        <f t="shared" si="39"/>
        <v>60</v>
      </c>
    </row>
    <row r="66" spans="1:28" ht="15" customHeight="1" hidden="1" outlineLevel="1">
      <c r="A66" s="357"/>
      <c r="B66" s="4"/>
      <c r="T66" s="24">
        <f>пар!B90</f>
        <v>20</v>
      </c>
      <c r="U66" s="1">
        <f>ROUNDUP(пар!$B$90*0.25,0)</f>
        <v>5</v>
      </c>
      <c r="V66" s="1">
        <f>ROUNDUP(пар!$B$90*0.25,0)</f>
        <v>5</v>
      </c>
      <c r="W66" s="1">
        <f>ROUNDUP(пар!$B$90*0.25,0)</f>
        <v>5</v>
      </c>
      <c r="X66" s="1">
        <f>ROUNDUP(пар!$B$90*0.25,0)</f>
        <v>5</v>
      </c>
      <c r="Y66" s="1">
        <f>ROUNDUP(пар!$B$90*0.25,0)</f>
        <v>5</v>
      </c>
      <c r="Z66" s="1">
        <f>ROUNDUP(пар!$B$90*0.25,0)</f>
        <v>5</v>
      </c>
      <c r="AA66" s="1">
        <f>ROUNDUP(пар!$B$90*0.25,0)</f>
        <v>5</v>
      </c>
      <c r="AB66" s="6">
        <f t="shared" si="39"/>
        <v>55</v>
      </c>
    </row>
    <row r="67" spans="1:28" ht="15" customHeight="1" hidden="1" outlineLevel="1">
      <c r="A67" s="357"/>
      <c r="B67" s="4"/>
      <c r="U67" s="24">
        <f>пар!B90</f>
        <v>20</v>
      </c>
      <c r="V67" s="1">
        <f>ROUNDUP(пар!$B$90*0.25,0)</f>
        <v>5</v>
      </c>
      <c r="W67" s="1">
        <f>ROUNDUP(пар!$B$90*0.25,0)</f>
        <v>5</v>
      </c>
      <c r="X67" s="1">
        <f>ROUNDUP(пар!$B$90*0.25,0)</f>
        <v>5</v>
      </c>
      <c r="Y67" s="1">
        <f>ROUNDUP(пар!$B$90*0.25,0)</f>
        <v>5</v>
      </c>
      <c r="Z67" s="1">
        <f>ROUNDUP(пар!$B$90*0.25,0)</f>
        <v>5</v>
      </c>
      <c r="AA67" s="1">
        <f>ROUNDUP(пар!$B$90*0.25,0)</f>
        <v>5</v>
      </c>
      <c r="AB67" s="6">
        <f t="shared" si="39"/>
        <v>50</v>
      </c>
    </row>
    <row r="68" spans="1:28" ht="15" customHeight="1" hidden="1" outlineLevel="1">
      <c r="A68" s="357"/>
      <c r="B68" s="4"/>
      <c r="V68" s="24">
        <f>пар!B90</f>
        <v>20</v>
      </c>
      <c r="W68" s="1">
        <f>ROUNDUP(пар!$B$90*0.25,0)</f>
        <v>5</v>
      </c>
      <c r="X68" s="1">
        <f>ROUNDUP(пар!$B$90*0.25,0)</f>
        <v>5</v>
      </c>
      <c r="Y68" s="1">
        <f>ROUNDUP(пар!$B$90*0.25,0)</f>
        <v>5</v>
      </c>
      <c r="Z68" s="1">
        <f>ROUNDUP(пар!$B$90*0.25,0)</f>
        <v>5</v>
      </c>
      <c r="AA68" s="1">
        <f>ROUNDUP(пар!$B$90*0.25,0)</f>
        <v>5</v>
      </c>
      <c r="AB68" s="6">
        <f t="shared" si="39"/>
        <v>45</v>
      </c>
    </row>
    <row r="69" spans="1:28" ht="15" customHeight="1" hidden="1" outlineLevel="1">
      <c r="A69" s="357"/>
      <c r="B69" s="4"/>
      <c r="W69" s="24">
        <f>пар!B90</f>
        <v>20</v>
      </c>
      <c r="X69" s="1">
        <f>ROUNDUP(пар!$B$90*0.25,0)</f>
        <v>5</v>
      </c>
      <c r="Y69" s="1">
        <f>ROUNDUP(пар!$B$90*0.25,0)</f>
        <v>5</v>
      </c>
      <c r="Z69" s="1">
        <f>ROUNDUP(пар!$B$90*0.25,0)</f>
        <v>5</v>
      </c>
      <c r="AA69" s="1">
        <f>ROUNDUP(пар!$B$90*0.25,0)</f>
        <v>5</v>
      </c>
      <c r="AB69" s="6">
        <f t="shared" si="39"/>
        <v>40</v>
      </c>
    </row>
    <row r="70" spans="1:28" ht="15" customHeight="1" hidden="1" outlineLevel="1">
      <c r="A70" s="357"/>
      <c r="B70" s="4"/>
      <c r="X70" s="24">
        <f>пар!B90</f>
        <v>20</v>
      </c>
      <c r="Y70" s="1">
        <f>ROUNDUP(пар!$B$90*0.25,0)</f>
        <v>5</v>
      </c>
      <c r="Z70" s="1">
        <f>ROUNDUP(пар!$B$90*0.25,0)</f>
        <v>5</v>
      </c>
      <c r="AA70" s="1">
        <f>ROUNDUP(пар!$B$90*0.25,0)</f>
        <v>5</v>
      </c>
      <c r="AB70" s="6">
        <f t="shared" si="39"/>
        <v>35</v>
      </c>
    </row>
    <row r="71" spans="1:28" ht="15" customHeight="1" hidden="1" outlineLevel="1">
      <c r="A71" s="357"/>
      <c r="B71" s="4"/>
      <c r="Y71" s="24">
        <f>пар!B90</f>
        <v>20</v>
      </c>
      <c r="Z71" s="1">
        <f>ROUNDUP(пар!$B$90*0.25,0)</f>
        <v>5</v>
      </c>
      <c r="AA71" s="1">
        <f>ROUNDUP(пар!$B$90*0.25,0)</f>
        <v>5</v>
      </c>
      <c r="AB71" s="6">
        <f t="shared" si="39"/>
        <v>30</v>
      </c>
    </row>
    <row r="72" spans="1:28" ht="15" customHeight="1" hidden="1" outlineLevel="1">
      <c r="A72" s="357"/>
      <c r="B72" s="4"/>
      <c r="Z72" s="24">
        <f>пар!B90</f>
        <v>20</v>
      </c>
      <c r="AA72" s="1">
        <f>ROUNDUP(пар!$B$90*0.25,0)</f>
        <v>5</v>
      </c>
      <c r="AB72" s="6">
        <f t="shared" si="39"/>
        <v>25</v>
      </c>
    </row>
    <row r="73" spans="1:28" ht="15" customHeight="1" hidden="1" outlineLevel="1">
      <c r="A73" s="357"/>
      <c r="B73" s="4"/>
      <c r="N73" s="11"/>
      <c r="O73" s="11"/>
      <c r="AA73" s="24">
        <f>пар!B90</f>
        <v>20</v>
      </c>
      <c r="AB73" s="6">
        <f t="shared" si="39"/>
        <v>20</v>
      </c>
    </row>
    <row r="74" spans="1:28" ht="15" collapsed="1">
      <c r="A74" s="1" t="s">
        <v>4</v>
      </c>
      <c r="B74" s="37" t="s">
        <v>52</v>
      </c>
      <c r="C74" s="13">
        <f aca="true" t="shared" si="40" ref="C74:AA74">SUM(C50:C73)</f>
        <v>20</v>
      </c>
      <c r="D74" s="13">
        <f t="shared" si="40"/>
        <v>25</v>
      </c>
      <c r="E74" s="13">
        <f t="shared" si="40"/>
        <v>30</v>
      </c>
      <c r="F74" s="13">
        <f t="shared" si="40"/>
        <v>35</v>
      </c>
      <c r="G74" s="13">
        <f t="shared" si="40"/>
        <v>40</v>
      </c>
      <c r="H74" s="13">
        <f t="shared" si="40"/>
        <v>45</v>
      </c>
      <c r="I74" s="13">
        <f t="shared" si="40"/>
        <v>50</v>
      </c>
      <c r="J74" s="13">
        <f t="shared" si="40"/>
        <v>55</v>
      </c>
      <c r="K74" s="13">
        <f t="shared" si="40"/>
        <v>60</v>
      </c>
      <c r="L74" s="13">
        <f t="shared" si="40"/>
        <v>65</v>
      </c>
      <c r="M74" s="13">
        <f t="shared" si="40"/>
        <v>70</v>
      </c>
      <c r="N74" s="9">
        <f t="shared" si="40"/>
        <v>75</v>
      </c>
      <c r="O74" s="57">
        <f>SUM(C74:N74)</f>
        <v>570</v>
      </c>
      <c r="P74" s="1">
        <f t="shared" si="40"/>
        <v>80</v>
      </c>
      <c r="Q74" s="1">
        <f t="shared" si="40"/>
        <v>85</v>
      </c>
      <c r="R74" s="1">
        <f t="shared" si="40"/>
        <v>90</v>
      </c>
      <c r="S74" s="1">
        <f t="shared" si="40"/>
        <v>95</v>
      </c>
      <c r="T74" s="1">
        <f t="shared" si="40"/>
        <v>100</v>
      </c>
      <c r="U74" s="1">
        <f t="shared" si="40"/>
        <v>105</v>
      </c>
      <c r="V74" s="1">
        <f t="shared" si="40"/>
        <v>110</v>
      </c>
      <c r="W74" s="1">
        <f t="shared" si="40"/>
        <v>115</v>
      </c>
      <c r="X74" s="1">
        <f t="shared" si="40"/>
        <v>120</v>
      </c>
      <c r="Y74" s="1">
        <f t="shared" si="40"/>
        <v>125</v>
      </c>
      <c r="Z74" s="1">
        <f t="shared" si="40"/>
        <v>130</v>
      </c>
      <c r="AA74" s="1">
        <f t="shared" si="40"/>
        <v>135</v>
      </c>
      <c r="AB74" s="67">
        <f t="shared" si="39"/>
        <v>2430</v>
      </c>
    </row>
    <row r="75" spans="1:28" ht="15">
      <c r="A75" s="16" t="s">
        <v>47</v>
      </c>
      <c r="B75" s="37" t="s">
        <v>65</v>
      </c>
      <c r="C75" s="19">
        <f>C76+C76*C77</f>
        <v>3108</v>
      </c>
      <c r="D75" s="19">
        <f aca="true" t="shared" si="41" ref="D75:N75">D76+D76*D77</f>
        <v>3108</v>
      </c>
      <c r="E75" s="19">
        <f t="shared" si="41"/>
        <v>3108</v>
      </c>
      <c r="F75" s="19">
        <f t="shared" si="41"/>
        <v>3108</v>
      </c>
      <c r="G75" s="19">
        <f t="shared" si="41"/>
        <v>3108</v>
      </c>
      <c r="H75" s="19">
        <f t="shared" si="41"/>
        <v>3108</v>
      </c>
      <c r="I75" s="19">
        <f t="shared" si="41"/>
        <v>3108</v>
      </c>
      <c r="J75" s="19">
        <f t="shared" si="41"/>
        <v>3108</v>
      </c>
      <c r="K75" s="19">
        <f t="shared" si="41"/>
        <v>3108</v>
      </c>
      <c r="L75" s="19">
        <f t="shared" si="41"/>
        <v>3108</v>
      </c>
      <c r="M75" s="19">
        <f t="shared" si="41"/>
        <v>3108</v>
      </c>
      <c r="N75" s="19">
        <f t="shared" si="41"/>
        <v>3108</v>
      </c>
      <c r="O75" s="58">
        <f>(C75+D75+E75+F75+G75+H75+I75+J75+K75+L75+M75+N75)/12</f>
        <v>3108</v>
      </c>
      <c r="P75" s="19">
        <f aca="true" t="shared" si="42" ref="P75:AA75">P76+P76*P77</f>
        <v>3108</v>
      </c>
      <c r="Q75" s="19">
        <f t="shared" si="42"/>
        <v>3108</v>
      </c>
      <c r="R75" s="19">
        <f t="shared" si="42"/>
        <v>3108</v>
      </c>
      <c r="S75" s="19">
        <f t="shared" si="42"/>
        <v>3108</v>
      </c>
      <c r="T75" s="19">
        <f t="shared" si="42"/>
        <v>3108</v>
      </c>
      <c r="U75" s="19">
        <f t="shared" si="42"/>
        <v>3108</v>
      </c>
      <c r="V75" s="19">
        <f t="shared" si="42"/>
        <v>3108</v>
      </c>
      <c r="W75" s="19">
        <f t="shared" si="42"/>
        <v>3108</v>
      </c>
      <c r="X75" s="19">
        <f t="shared" si="42"/>
        <v>3108</v>
      </c>
      <c r="Y75" s="19">
        <f t="shared" si="42"/>
        <v>3108</v>
      </c>
      <c r="Z75" s="19">
        <f t="shared" si="42"/>
        <v>3108</v>
      </c>
      <c r="AA75" s="19">
        <f t="shared" si="42"/>
        <v>3108</v>
      </c>
      <c r="AB75" s="58">
        <f>(P75+Q75+R75+S75+T75+U75+V75+W75+X75+Y75+Z75+AA75)/12</f>
        <v>3108</v>
      </c>
    </row>
    <row r="76" spans="1:28" ht="15">
      <c r="A76" s="16" t="s">
        <v>64</v>
      </c>
      <c r="B76" s="37" t="s">
        <v>65</v>
      </c>
      <c r="C76" s="42">
        <f>пар!B46</f>
        <v>2220</v>
      </c>
      <c r="D76" s="35">
        <f>C76</f>
        <v>2220</v>
      </c>
      <c r="E76" s="35">
        <f aca="true" t="shared" si="43" ref="E76:N76">D76</f>
        <v>2220</v>
      </c>
      <c r="F76" s="35">
        <f t="shared" si="43"/>
        <v>2220</v>
      </c>
      <c r="G76" s="35">
        <f t="shared" si="43"/>
        <v>2220</v>
      </c>
      <c r="H76" s="35">
        <f t="shared" si="43"/>
        <v>2220</v>
      </c>
      <c r="I76" s="35">
        <f t="shared" si="43"/>
        <v>2220</v>
      </c>
      <c r="J76" s="35">
        <f t="shared" si="43"/>
        <v>2220</v>
      </c>
      <c r="K76" s="35">
        <f t="shared" si="43"/>
        <v>2220</v>
      </c>
      <c r="L76" s="35">
        <f t="shared" si="43"/>
        <v>2220</v>
      </c>
      <c r="M76" s="35">
        <f t="shared" si="43"/>
        <v>2220</v>
      </c>
      <c r="N76" s="35">
        <f t="shared" si="43"/>
        <v>2220</v>
      </c>
      <c r="O76" s="58">
        <f>(C76+D76+E76+F76+G76+H76+I76+J76+K76+L76+M76+N76)/12</f>
        <v>2220</v>
      </c>
      <c r="P76" s="35">
        <f>C76</f>
        <v>2220</v>
      </c>
      <c r="Q76" s="35">
        <f>P76</f>
        <v>2220</v>
      </c>
      <c r="R76" s="35">
        <f aca="true" t="shared" si="44" ref="R76:AA76">Q76</f>
        <v>2220</v>
      </c>
      <c r="S76" s="35">
        <f t="shared" si="44"/>
        <v>2220</v>
      </c>
      <c r="T76" s="35">
        <f t="shared" si="44"/>
        <v>2220</v>
      </c>
      <c r="U76" s="35">
        <f t="shared" si="44"/>
        <v>2220</v>
      </c>
      <c r="V76" s="35">
        <f t="shared" si="44"/>
        <v>2220</v>
      </c>
      <c r="W76" s="35">
        <f t="shared" si="44"/>
        <v>2220</v>
      </c>
      <c r="X76" s="35">
        <f t="shared" si="44"/>
        <v>2220</v>
      </c>
      <c r="Y76" s="35">
        <f t="shared" si="44"/>
        <v>2220</v>
      </c>
      <c r="Z76" s="35">
        <f t="shared" si="44"/>
        <v>2220</v>
      </c>
      <c r="AA76" s="35">
        <f t="shared" si="44"/>
        <v>2220</v>
      </c>
      <c r="AB76" s="58">
        <f>(P76+Q76+R76+S76+T76+U76+V76+W76+X76+Y76+Z76+AA76)/12</f>
        <v>2220</v>
      </c>
    </row>
    <row r="77" spans="1:28" ht="15">
      <c r="A77" s="16" t="s">
        <v>70</v>
      </c>
      <c r="B77" s="37" t="s">
        <v>69</v>
      </c>
      <c r="C77" s="49">
        <f>пар!B47</f>
        <v>0.4</v>
      </c>
      <c r="D77" s="17">
        <f>C77</f>
        <v>0.4</v>
      </c>
      <c r="E77" s="17">
        <f>D77</f>
        <v>0.4</v>
      </c>
      <c r="F77" s="17">
        <f aca="true" t="shared" si="45" ref="F77:N77">E77</f>
        <v>0.4</v>
      </c>
      <c r="G77" s="17">
        <f t="shared" si="45"/>
        <v>0.4</v>
      </c>
      <c r="H77" s="17">
        <f t="shared" si="45"/>
        <v>0.4</v>
      </c>
      <c r="I77" s="17">
        <f t="shared" si="45"/>
        <v>0.4</v>
      </c>
      <c r="J77" s="17">
        <f t="shared" si="45"/>
        <v>0.4</v>
      </c>
      <c r="K77" s="17">
        <f t="shared" si="45"/>
        <v>0.4</v>
      </c>
      <c r="L77" s="17">
        <f t="shared" si="45"/>
        <v>0.4</v>
      </c>
      <c r="M77" s="17">
        <f t="shared" si="45"/>
        <v>0.4</v>
      </c>
      <c r="N77" s="17">
        <f t="shared" si="45"/>
        <v>0.4</v>
      </c>
      <c r="O77" s="60">
        <f>(C77+D77+E77+F77+G77+H77+I77+J77+K77+L77+M77+N77)/12</f>
        <v>0.39999999999999997</v>
      </c>
      <c r="P77" s="17">
        <f>C77</f>
        <v>0.4</v>
      </c>
      <c r="Q77" s="17">
        <f>P77</f>
        <v>0.4</v>
      </c>
      <c r="R77" s="17">
        <f aca="true" t="shared" si="46" ref="R77:AA77">Q77</f>
        <v>0.4</v>
      </c>
      <c r="S77" s="17">
        <f t="shared" si="46"/>
        <v>0.4</v>
      </c>
      <c r="T77" s="17">
        <f t="shared" si="46"/>
        <v>0.4</v>
      </c>
      <c r="U77" s="17">
        <f t="shared" si="46"/>
        <v>0.4</v>
      </c>
      <c r="V77" s="17">
        <f t="shared" si="46"/>
        <v>0.4</v>
      </c>
      <c r="W77" s="17">
        <f t="shared" si="46"/>
        <v>0.4</v>
      </c>
      <c r="X77" s="17">
        <f t="shared" si="46"/>
        <v>0.4</v>
      </c>
      <c r="Y77" s="17">
        <f t="shared" si="46"/>
        <v>0.4</v>
      </c>
      <c r="Z77" s="17">
        <f t="shared" si="46"/>
        <v>0.4</v>
      </c>
      <c r="AA77" s="17">
        <f t="shared" si="46"/>
        <v>0.4</v>
      </c>
      <c r="AB77" s="60">
        <f>(P77+Q77+R77+S77+T77+U77+V77+W77+X77+Y77+Z77+AA77)/12</f>
        <v>0.39999999999999997</v>
      </c>
    </row>
    <row r="78" spans="1:28" ht="15">
      <c r="A78" s="16" t="s">
        <v>72</v>
      </c>
      <c r="B78" s="37" t="s">
        <v>65</v>
      </c>
      <c r="C78" s="35">
        <f aca="true" t="shared" si="47" ref="C78:P78">3000*C74</f>
        <v>60000</v>
      </c>
      <c r="D78" s="35">
        <f t="shared" si="47"/>
        <v>75000</v>
      </c>
      <c r="E78" s="35">
        <f t="shared" si="47"/>
        <v>90000</v>
      </c>
      <c r="F78" s="35">
        <f t="shared" si="47"/>
        <v>105000</v>
      </c>
      <c r="G78" s="35">
        <f t="shared" si="47"/>
        <v>120000</v>
      </c>
      <c r="H78" s="35">
        <f t="shared" si="47"/>
        <v>135000</v>
      </c>
      <c r="I78" s="35">
        <f t="shared" si="47"/>
        <v>150000</v>
      </c>
      <c r="J78" s="35">
        <f t="shared" si="47"/>
        <v>165000</v>
      </c>
      <c r="K78" s="35">
        <f t="shared" si="47"/>
        <v>180000</v>
      </c>
      <c r="L78" s="35">
        <f t="shared" si="47"/>
        <v>195000</v>
      </c>
      <c r="M78" s="35">
        <f t="shared" si="47"/>
        <v>210000</v>
      </c>
      <c r="N78" s="41">
        <f t="shared" si="47"/>
        <v>225000</v>
      </c>
      <c r="O78" s="57">
        <f>SUM(C78:N78)</f>
        <v>1710000</v>
      </c>
      <c r="P78" s="41">
        <f t="shared" si="47"/>
        <v>240000</v>
      </c>
      <c r="Q78" s="41">
        <f aca="true" t="shared" si="48" ref="Q78:AB78">3000*Q74</f>
        <v>255000</v>
      </c>
      <c r="R78" s="41">
        <f t="shared" si="48"/>
        <v>270000</v>
      </c>
      <c r="S78" s="41">
        <f t="shared" si="48"/>
        <v>285000</v>
      </c>
      <c r="T78" s="41">
        <f t="shared" si="48"/>
        <v>300000</v>
      </c>
      <c r="U78" s="41">
        <f t="shared" si="48"/>
        <v>315000</v>
      </c>
      <c r="V78" s="41">
        <f t="shared" si="48"/>
        <v>330000</v>
      </c>
      <c r="W78" s="41">
        <f t="shared" si="48"/>
        <v>345000</v>
      </c>
      <c r="X78" s="41">
        <f t="shared" si="48"/>
        <v>360000</v>
      </c>
      <c r="Y78" s="41">
        <f t="shared" si="48"/>
        <v>375000</v>
      </c>
      <c r="Z78" s="41">
        <f t="shared" si="48"/>
        <v>390000</v>
      </c>
      <c r="AA78" s="41">
        <f t="shared" si="48"/>
        <v>405000</v>
      </c>
      <c r="AB78" s="64">
        <f t="shared" si="48"/>
        <v>7290000</v>
      </c>
    </row>
    <row r="79" spans="1:28" ht="30">
      <c r="A79" s="43" t="s">
        <v>73</v>
      </c>
      <c r="B79" s="38" t="s">
        <v>65</v>
      </c>
      <c r="C79" s="19">
        <f>C74*C76</f>
        <v>44400</v>
      </c>
      <c r="D79" s="19">
        <f aca="true" t="shared" si="49" ref="D79:O79">D74*D76</f>
        <v>55500</v>
      </c>
      <c r="E79" s="19">
        <f t="shared" si="49"/>
        <v>66600</v>
      </c>
      <c r="F79" s="19">
        <f t="shared" si="49"/>
        <v>77700</v>
      </c>
      <c r="G79" s="19">
        <f t="shared" si="49"/>
        <v>88800</v>
      </c>
      <c r="H79" s="19">
        <f t="shared" si="49"/>
        <v>99900</v>
      </c>
      <c r="I79" s="19">
        <f t="shared" si="49"/>
        <v>111000</v>
      </c>
      <c r="J79" s="19">
        <f t="shared" si="49"/>
        <v>122100</v>
      </c>
      <c r="K79" s="19">
        <f t="shared" si="49"/>
        <v>133200</v>
      </c>
      <c r="L79" s="19">
        <f t="shared" si="49"/>
        <v>144300</v>
      </c>
      <c r="M79" s="19">
        <f t="shared" si="49"/>
        <v>155400</v>
      </c>
      <c r="N79" s="19">
        <f t="shared" si="49"/>
        <v>166500</v>
      </c>
      <c r="O79" s="58">
        <f t="shared" si="49"/>
        <v>1265400</v>
      </c>
      <c r="P79" s="19">
        <f aca="true" t="shared" si="50" ref="P79:AA79">P74*P76</f>
        <v>177600</v>
      </c>
      <c r="Q79" s="19">
        <f t="shared" si="50"/>
        <v>188700</v>
      </c>
      <c r="R79" s="19">
        <f t="shared" si="50"/>
        <v>199800</v>
      </c>
      <c r="S79" s="19">
        <f t="shared" si="50"/>
        <v>210900</v>
      </c>
      <c r="T79" s="19">
        <f t="shared" si="50"/>
        <v>222000</v>
      </c>
      <c r="U79" s="19">
        <f t="shared" si="50"/>
        <v>233100</v>
      </c>
      <c r="V79" s="19">
        <f t="shared" si="50"/>
        <v>244200</v>
      </c>
      <c r="W79" s="19">
        <f t="shared" si="50"/>
        <v>255300</v>
      </c>
      <c r="X79" s="19">
        <f t="shared" si="50"/>
        <v>266400</v>
      </c>
      <c r="Y79" s="19">
        <f t="shared" si="50"/>
        <v>277500</v>
      </c>
      <c r="Z79" s="19">
        <f t="shared" si="50"/>
        <v>288600</v>
      </c>
      <c r="AA79" s="19">
        <f t="shared" si="50"/>
        <v>299700</v>
      </c>
      <c r="AB79" s="58">
        <f>AB74*AB76</f>
        <v>5394600</v>
      </c>
    </row>
    <row r="80" spans="1:28" ht="15">
      <c r="A80" s="15" t="s">
        <v>50</v>
      </c>
      <c r="B80" s="39" t="s">
        <v>65</v>
      </c>
      <c r="C80" s="35">
        <f>C78-C79</f>
        <v>15600</v>
      </c>
      <c r="D80" s="35">
        <f aca="true" t="shared" si="51" ref="D80:P80">D78-D79</f>
        <v>19500</v>
      </c>
      <c r="E80" s="35">
        <f t="shared" si="51"/>
        <v>23400</v>
      </c>
      <c r="F80" s="35">
        <f t="shared" si="51"/>
        <v>27300</v>
      </c>
      <c r="G80" s="35">
        <f t="shared" si="51"/>
        <v>31200</v>
      </c>
      <c r="H80" s="35">
        <f t="shared" si="51"/>
        <v>35100</v>
      </c>
      <c r="I80" s="35">
        <f t="shared" si="51"/>
        <v>39000</v>
      </c>
      <c r="J80" s="35">
        <f t="shared" si="51"/>
        <v>42900</v>
      </c>
      <c r="K80" s="35">
        <f t="shared" si="51"/>
        <v>46800</v>
      </c>
      <c r="L80" s="35">
        <f t="shared" si="51"/>
        <v>50700</v>
      </c>
      <c r="M80" s="35">
        <f t="shared" si="51"/>
        <v>54600</v>
      </c>
      <c r="N80" s="35">
        <f t="shared" si="51"/>
        <v>58500</v>
      </c>
      <c r="O80" s="62">
        <f t="shared" si="51"/>
        <v>444600</v>
      </c>
      <c r="P80" s="35">
        <f t="shared" si="51"/>
        <v>62400</v>
      </c>
      <c r="Q80" s="35">
        <f aca="true" t="shared" si="52" ref="Q80:AB80">Q78-Q79</f>
        <v>66300</v>
      </c>
      <c r="R80" s="35">
        <f t="shared" si="52"/>
        <v>70200</v>
      </c>
      <c r="S80" s="35">
        <f t="shared" si="52"/>
        <v>74100</v>
      </c>
      <c r="T80" s="35">
        <f t="shared" si="52"/>
        <v>78000</v>
      </c>
      <c r="U80" s="35">
        <f t="shared" si="52"/>
        <v>81900</v>
      </c>
      <c r="V80" s="35">
        <f t="shared" si="52"/>
        <v>85800</v>
      </c>
      <c r="W80" s="35">
        <f t="shared" si="52"/>
        <v>89700</v>
      </c>
      <c r="X80" s="35">
        <f t="shared" si="52"/>
        <v>93600</v>
      </c>
      <c r="Y80" s="35">
        <f t="shared" si="52"/>
        <v>97500</v>
      </c>
      <c r="Z80" s="35">
        <f t="shared" si="52"/>
        <v>101400</v>
      </c>
      <c r="AA80" s="35">
        <f t="shared" si="52"/>
        <v>105300</v>
      </c>
      <c r="AB80" s="62">
        <f t="shared" si="52"/>
        <v>1895400</v>
      </c>
    </row>
    <row r="81" spans="1:28" ht="15.75" thickBot="1">
      <c r="A81" s="354" t="s">
        <v>5</v>
      </c>
      <c r="B81" s="354"/>
      <c r="C81" s="354"/>
      <c r="D81" s="354"/>
      <c r="E81" s="354"/>
      <c r="F81" s="354"/>
      <c r="G81" s="354"/>
      <c r="AB81" s="6"/>
    </row>
    <row r="82" spans="1:28" ht="28.5">
      <c r="A82" s="348" t="s">
        <v>71</v>
      </c>
      <c r="B82" s="358" t="s">
        <v>28</v>
      </c>
      <c r="C82" s="95" t="s">
        <v>29</v>
      </c>
      <c r="D82" s="95" t="s">
        <v>30</v>
      </c>
      <c r="E82" s="95" t="s">
        <v>31</v>
      </c>
      <c r="F82" s="95" t="s">
        <v>32</v>
      </c>
      <c r="G82" s="95" t="s">
        <v>33</v>
      </c>
      <c r="H82" s="95" t="s">
        <v>34</v>
      </c>
      <c r="I82" s="95" t="s">
        <v>35</v>
      </c>
      <c r="J82" s="95" t="s">
        <v>36</v>
      </c>
      <c r="K82" s="95" t="s">
        <v>37</v>
      </c>
      <c r="L82" s="95" t="s">
        <v>38</v>
      </c>
      <c r="M82" s="95" t="s">
        <v>39</v>
      </c>
      <c r="N82" s="95" t="s">
        <v>40</v>
      </c>
      <c r="O82" s="360" t="s">
        <v>51</v>
      </c>
      <c r="P82" s="95" t="s">
        <v>53</v>
      </c>
      <c r="Q82" s="95" t="s">
        <v>54</v>
      </c>
      <c r="R82" s="95" t="s">
        <v>55</v>
      </c>
      <c r="S82" s="95" t="s">
        <v>56</v>
      </c>
      <c r="T82" s="95" t="s">
        <v>57</v>
      </c>
      <c r="U82" s="95" t="s">
        <v>58</v>
      </c>
      <c r="V82" s="95" t="s">
        <v>59</v>
      </c>
      <c r="W82" s="95" t="s">
        <v>60</v>
      </c>
      <c r="X82" s="95" t="s">
        <v>61</v>
      </c>
      <c r="Y82" s="95" t="s">
        <v>62</v>
      </c>
      <c r="Z82" s="95" t="s">
        <v>63</v>
      </c>
      <c r="AA82" s="95" t="s">
        <v>97</v>
      </c>
      <c r="AB82" s="360" t="s">
        <v>51</v>
      </c>
    </row>
    <row r="83" spans="1:28" ht="15">
      <c r="A83" s="349"/>
      <c r="B83" s="359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361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361"/>
    </row>
    <row r="84" spans="1:28" ht="12.75" customHeight="1" hidden="1" outlineLevel="1">
      <c r="A84" s="357" t="s">
        <v>166</v>
      </c>
      <c r="B84" s="4"/>
      <c r="C84" s="1">
        <v>3</v>
      </c>
      <c r="D84" s="1">
        <f>C84</f>
        <v>3</v>
      </c>
      <c r="E84" s="1">
        <f aca="true" t="shared" si="53" ref="E84:AA84">D84</f>
        <v>3</v>
      </c>
      <c r="F84" s="1">
        <f t="shared" si="53"/>
        <v>3</v>
      </c>
      <c r="G84" s="1">
        <f t="shared" si="53"/>
        <v>3</v>
      </c>
      <c r="H84" s="1">
        <f t="shared" si="53"/>
        <v>3</v>
      </c>
      <c r="I84" s="1">
        <f t="shared" si="53"/>
        <v>3</v>
      </c>
      <c r="J84" s="1">
        <f t="shared" si="53"/>
        <v>3</v>
      </c>
      <c r="K84" s="1">
        <f t="shared" si="53"/>
        <v>3</v>
      </c>
      <c r="L84" s="1">
        <f t="shared" si="53"/>
        <v>3</v>
      </c>
      <c r="M84" s="1">
        <f t="shared" si="53"/>
        <v>3</v>
      </c>
      <c r="N84" s="1">
        <f t="shared" si="53"/>
        <v>3</v>
      </c>
      <c r="O84" s="1">
        <f t="shared" si="53"/>
        <v>3</v>
      </c>
      <c r="P84" s="1">
        <f t="shared" si="53"/>
        <v>3</v>
      </c>
      <c r="Q84" s="1">
        <f t="shared" si="53"/>
        <v>3</v>
      </c>
      <c r="R84" s="1">
        <f t="shared" si="53"/>
        <v>3</v>
      </c>
      <c r="S84" s="1">
        <f t="shared" si="53"/>
        <v>3</v>
      </c>
      <c r="T84" s="1">
        <f t="shared" si="53"/>
        <v>3</v>
      </c>
      <c r="U84" s="1">
        <f t="shared" si="53"/>
        <v>3</v>
      </c>
      <c r="V84" s="1">
        <f t="shared" si="53"/>
        <v>3</v>
      </c>
      <c r="W84" s="1">
        <f t="shared" si="53"/>
        <v>3</v>
      </c>
      <c r="X84" s="1">
        <f t="shared" si="53"/>
        <v>3</v>
      </c>
      <c r="Y84" s="1">
        <f t="shared" si="53"/>
        <v>3</v>
      </c>
      <c r="Z84" s="1">
        <f t="shared" si="53"/>
        <v>3</v>
      </c>
      <c r="AA84" s="1">
        <f t="shared" si="53"/>
        <v>3</v>
      </c>
      <c r="AB84" s="6">
        <f aca="true" t="shared" si="54" ref="AB84:AB108">SUM(C84:AA84)</f>
        <v>75</v>
      </c>
    </row>
    <row r="85" spans="1:28" ht="13.5" hidden="1" outlineLevel="1">
      <c r="A85" s="357"/>
      <c r="B85" s="4"/>
      <c r="D85" s="1">
        <v>3</v>
      </c>
      <c r="E85" s="1">
        <v>3</v>
      </c>
      <c r="F85" s="1">
        <v>3</v>
      </c>
      <c r="G85" s="1">
        <v>3</v>
      </c>
      <c r="H85" s="1">
        <v>3</v>
      </c>
      <c r="I85" s="1">
        <v>3</v>
      </c>
      <c r="J85" s="1">
        <v>3</v>
      </c>
      <c r="K85" s="1">
        <v>3</v>
      </c>
      <c r="L85" s="1">
        <v>3</v>
      </c>
      <c r="M85" s="1">
        <v>3</v>
      </c>
      <c r="N85" s="1">
        <v>3</v>
      </c>
      <c r="O85" s="1">
        <v>3</v>
      </c>
      <c r="P85" s="1">
        <v>3</v>
      </c>
      <c r="Q85" s="1">
        <v>3</v>
      </c>
      <c r="R85" s="1">
        <v>3</v>
      </c>
      <c r="S85" s="1">
        <v>3</v>
      </c>
      <c r="T85" s="1">
        <v>3</v>
      </c>
      <c r="U85" s="1">
        <v>3</v>
      </c>
      <c r="V85" s="1">
        <v>3</v>
      </c>
      <c r="W85" s="1">
        <v>3</v>
      </c>
      <c r="X85" s="1">
        <v>3</v>
      </c>
      <c r="Y85" s="1">
        <v>3</v>
      </c>
      <c r="Z85" s="1">
        <v>3</v>
      </c>
      <c r="AA85" s="1">
        <v>3</v>
      </c>
      <c r="AB85" s="6">
        <f t="shared" si="54"/>
        <v>72</v>
      </c>
    </row>
    <row r="86" spans="1:28" ht="13.5" hidden="1" outlineLevel="1">
      <c r="A86" s="357"/>
      <c r="B86" s="4"/>
      <c r="E86" s="1">
        <v>3</v>
      </c>
      <c r="F86" s="1">
        <v>3</v>
      </c>
      <c r="G86" s="1">
        <v>3</v>
      </c>
      <c r="H86" s="1">
        <v>3</v>
      </c>
      <c r="I86" s="1">
        <v>3</v>
      </c>
      <c r="J86" s="1">
        <v>3</v>
      </c>
      <c r="K86" s="1">
        <v>3</v>
      </c>
      <c r="L86" s="1">
        <v>3</v>
      </c>
      <c r="M86" s="1">
        <v>3</v>
      </c>
      <c r="N86" s="1">
        <v>3</v>
      </c>
      <c r="O86" s="1">
        <v>3</v>
      </c>
      <c r="P86" s="1">
        <v>3</v>
      </c>
      <c r="Q86" s="1">
        <v>3</v>
      </c>
      <c r="R86" s="1">
        <v>3</v>
      </c>
      <c r="S86" s="1">
        <v>3</v>
      </c>
      <c r="T86" s="1">
        <v>3</v>
      </c>
      <c r="U86" s="1">
        <v>3</v>
      </c>
      <c r="V86" s="1">
        <v>3</v>
      </c>
      <c r="W86" s="1">
        <v>3</v>
      </c>
      <c r="X86" s="1">
        <v>3</v>
      </c>
      <c r="Y86" s="1">
        <v>3</v>
      </c>
      <c r="Z86" s="1">
        <v>3</v>
      </c>
      <c r="AA86" s="1">
        <v>3</v>
      </c>
      <c r="AB86" s="6">
        <f t="shared" si="54"/>
        <v>69</v>
      </c>
    </row>
    <row r="87" spans="1:28" ht="13.5" hidden="1" outlineLevel="1">
      <c r="A87" s="357"/>
      <c r="B87" s="4"/>
      <c r="F87" s="1">
        <v>3</v>
      </c>
      <c r="G87" s="1">
        <v>3</v>
      </c>
      <c r="H87" s="1">
        <v>3</v>
      </c>
      <c r="I87" s="1">
        <v>3</v>
      </c>
      <c r="J87" s="1">
        <v>3</v>
      </c>
      <c r="K87" s="1">
        <v>3</v>
      </c>
      <c r="L87" s="1">
        <v>3</v>
      </c>
      <c r="M87" s="1">
        <v>3</v>
      </c>
      <c r="N87" s="1">
        <v>3</v>
      </c>
      <c r="O87" s="1">
        <v>3</v>
      </c>
      <c r="P87" s="1">
        <v>3</v>
      </c>
      <c r="Q87" s="1">
        <v>3</v>
      </c>
      <c r="R87" s="1">
        <v>3</v>
      </c>
      <c r="S87" s="1">
        <v>3</v>
      </c>
      <c r="T87" s="1">
        <v>3</v>
      </c>
      <c r="U87" s="1">
        <v>3</v>
      </c>
      <c r="V87" s="1">
        <v>3</v>
      </c>
      <c r="W87" s="1">
        <v>3</v>
      </c>
      <c r="X87" s="1">
        <v>3</v>
      </c>
      <c r="Y87" s="1">
        <v>3</v>
      </c>
      <c r="Z87" s="1">
        <v>3</v>
      </c>
      <c r="AA87" s="1">
        <v>3</v>
      </c>
      <c r="AB87" s="6">
        <f t="shared" si="54"/>
        <v>66</v>
      </c>
    </row>
    <row r="88" spans="1:28" ht="13.5" hidden="1" outlineLevel="1">
      <c r="A88" s="357"/>
      <c r="B88" s="4"/>
      <c r="G88" s="1">
        <v>3</v>
      </c>
      <c r="H88" s="1">
        <v>3</v>
      </c>
      <c r="I88" s="1">
        <v>3</v>
      </c>
      <c r="J88" s="1">
        <v>3</v>
      </c>
      <c r="K88" s="1">
        <v>3</v>
      </c>
      <c r="L88" s="1">
        <v>3</v>
      </c>
      <c r="M88" s="1">
        <v>3</v>
      </c>
      <c r="N88" s="1">
        <v>3</v>
      </c>
      <c r="O88" s="1">
        <v>3</v>
      </c>
      <c r="P88" s="1">
        <v>3</v>
      </c>
      <c r="Q88" s="1">
        <v>3</v>
      </c>
      <c r="R88" s="1">
        <v>3</v>
      </c>
      <c r="S88" s="1">
        <v>3</v>
      </c>
      <c r="T88" s="1">
        <v>3</v>
      </c>
      <c r="U88" s="1">
        <v>3</v>
      </c>
      <c r="V88" s="1">
        <v>3</v>
      </c>
      <c r="W88" s="1">
        <v>3</v>
      </c>
      <c r="X88" s="1">
        <v>3</v>
      </c>
      <c r="Y88" s="1">
        <v>3</v>
      </c>
      <c r="Z88" s="1">
        <v>3</v>
      </c>
      <c r="AA88" s="1">
        <v>3</v>
      </c>
      <c r="AB88" s="6">
        <f t="shared" si="54"/>
        <v>63</v>
      </c>
    </row>
    <row r="89" spans="1:28" ht="13.5" hidden="1" outlineLevel="1">
      <c r="A89" s="357"/>
      <c r="B89" s="4"/>
      <c r="H89" s="1">
        <v>3</v>
      </c>
      <c r="I89" s="1">
        <v>3</v>
      </c>
      <c r="J89" s="1">
        <v>3</v>
      </c>
      <c r="K89" s="1">
        <v>3</v>
      </c>
      <c r="L89" s="1">
        <v>3</v>
      </c>
      <c r="M89" s="1">
        <v>3</v>
      </c>
      <c r="N89" s="1">
        <v>3</v>
      </c>
      <c r="O89" s="1">
        <v>3</v>
      </c>
      <c r="P89" s="1">
        <v>3</v>
      </c>
      <c r="Q89" s="1">
        <v>3</v>
      </c>
      <c r="R89" s="1">
        <v>3</v>
      </c>
      <c r="S89" s="1">
        <v>3</v>
      </c>
      <c r="T89" s="1">
        <v>3</v>
      </c>
      <c r="U89" s="1">
        <v>3</v>
      </c>
      <c r="V89" s="1">
        <v>3</v>
      </c>
      <c r="W89" s="1">
        <v>3</v>
      </c>
      <c r="X89" s="1">
        <v>3</v>
      </c>
      <c r="Y89" s="1">
        <v>3</v>
      </c>
      <c r="Z89" s="1">
        <v>3</v>
      </c>
      <c r="AA89" s="1">
        <v>3</v>
      </c>
      <c r="AB89" s="6">
        <f t="shared" si="54"/>
        <v>60</v>
      </c>
    </row>
    <row r="90" spans="1:28" ht="13.5" hidden="1" outlineLevel="1">
      <c r="A90" s="357"/>
      <c r="B90" s="4"/>
      <c r="I90" s="1">
        <v>3</v>
      </c>
      <c r="J90" s="1">
        <v>3</v>
      </c>
      <c r="K90" s="1">
        <v>3</v>
      </c>
      <c r="L90" s="1">
        <v>3</v>
      </c>
      <c r="M90" s="1">
        <v>3</v>
      </c>
      <c r="N90" s="1">
        <v>3</v>
      </c>
      <c r="O90" s="1">
        <v>3</v>
      </c>
      <c r="P90" s="1">
        <v>3</v>
      </c>
      <c r="Q90" s="1">
        <v>3</v>
      </c>
      <c r="R90" s="1">
        <v>3</v>
      </c>
      <c r="S90" s="1">
        <v>3</v>
      </c>
      <c r="T90" s="1">
        <v>3</v>
      </c>
      <c r="U90" s="1">
        <v>3</v>
      </c>
      <c r="V90" s="1">
        <v>3</v>
      </c>
      <c r="W90" s="1">
        <v>3</v>
      </c>
      <c r="X90" s="1">
        <v>3</v>
      </c>
      <c r="Y90" s="1">
        <v>3</v>
      </c>
      <c r="Z90" s="1">
        <v>3</v>
      </c>
      <c r="AA90" s="1">
        <v>3</v>
      </c>
      <c r="AB90" s="6">
        <f t="shared" si="54"/>
        <v>57</v>
      </c>
    </row>
    <row r="91" spans="1:28" ht="13.5" hidden="1" outlineLevel="1">
      <c r="A91" s="357"/>
      <c r="B91" s="4"/>
      <c r="J91" s="2">
        <v>3</v>
      </c>
      <c r="K91" s="2">
        <v>3</v>
      </c>
      <c r="L91" s="2">
        <v>3</v>
      </c>
      <c r="M91" s="2">
        <v>3</v>
      </c>
      <c r="N91" s="2">
        <v>3</v>
      </c>
      <c r="O91" s="2">
        <v>3</v>
      </c>
      <c r="P91" s="2">
        <v>3</v>
      </c>
      <c r="Q91" s="2">
        <v>3</v>
      </c>
      <c r="R91" s="2">
        <v>3</v>
      </c>
      <c r="S91" s="2">
        <v>3</v>
      </c>
      <c r="T91" s="2">
        <v>3</v>
      </c>
      <c r="U91" s="2">
        <v>3</v>
      </c>
      <c r="V91" s="2">
        <v>3</v>
      </c>
      <c r="W91" s="2">
        <v>3</v>
      </c>
      <c r="X91" s="2">
        <v>3</v>
      </c>
      <c r="Y91" s="2">
        <v>3</v>
      </c>
      <c r="Z91" s="2">
        <v>3</v>
      </c>
      <c r="AA91" s="2">
        <v>3</v>
      </c>
      <c r="AB91" s="6">
        <f t="shared" si="54"/>
        <v>54</v>
      </c>
    </row>
    <row r="92" spans="1:28" ht="13.5" hidden="1" outlineLevel="1">
      <c r="A92" s="357"/>
      <c r="B92" s="4"/>
      <c r="K92" s="1">
        <v>3</v>
      </c>
      <c r="L92" s="1">
        <v>3</v>
      </c>
      <c r="M92" s="1">
        <v>3</v>
      </c>
      <c r="N92" s="1">
        <v>3</v>
      </c>
      <c r="O92" s="1">
        <v>3</v>
      </c>
      <c r="P92" s="1">
        <v>3</v>
      </c>
      <c r="Q92" s="1">
        <v>3</v>
      </c>
      <c r="R92" s="1">
        <v>3</v>
      </c>
      <c r="S92" s="1">
        <v>3</v>
      </c>
      <c r="T92" s="1">
        <v>3</v>
      </c>
      <c r="U92" s="1">
        <v>3</v>
      </c>
      <c r="V92" s="1">
        <v>3</v>
      </c>
      <c r="W92" s="1">
        <v>3</v>
      </c>
      <c r="X92" s="1">
        <v>3</v>
      </c>
      <c r="Y92" s="1">
        <v>3</v>
      </c>
      <c r="Z92" s="1">
        <v>3</v>
      </c>
      <c r="AA92" s="1">
        <v>3</v>
      </c>
      <c r="AB92" s="6">
        <f t="shared" si="54"/>
        <v>51</v>
      </c>
    </row>
    <row r="93" spans="1:28" ht="13.5" hidden="1" outlineLevel="1">
      <c r="A93" s="357"/>
      <c r="B93" s="4"/>
      <c r="L93" s="1">
        <v>3</v>
      </c>
      <c r="M93" s="1">
        <v>3</v>
      </c>
      <c r="N93" s="1">
        <v>3</v>
      </c>
      <c r="O93" s="1">
        <v>3</v>
      </c>
      <c r="P93" s="1">
        <v>3</v>
      </c>
      <c r="Q93" s="1">
        <v>3</v>
      </c>
      <c r="R93" s="1">
        <v>3</v>
      </c>
      <c r="S93" s="1">
        <v>3</v>
      </c>
      <c r="T93" s="1">
        <v>3</v>
      </c>
      <c r="U93" s="1">
        <v>3</v>
      </c>
      <c r="V93" s="1">
        <v>3</v>
      </c>
      <c r="W93" s="1">
        <v>3</v>
      </c>
      <c r="X93" s="1">
        <v>3</v>
      </c>
      <c r="Y93" s="1">
        <v>3</v>
      </c>
      <c r="Z93" s="1">
        <v>3</v>
      </c>
      <c r="AA93" s="1">
        <v>3</v>
      </c>
      <c r="AB93" s="6">
        <f t="shared" si="54"/>
        <v>48</v>
      </c>
    </row>
    <row r="94" spans="1:28" ht="13.5" hidden="1" outlineLevel="1">
      <c r="A94" s="357"/>
      <c r="B94" s="4"/>
      <c r="M94" s="1">
        <v>3</v>
      </c>
      <c r="N94" s="1">
        <v>3</v>
      </c>
      <c r="O94" s="1">
        <v>3</v>
      </c>
      <c r="P94" s="1">
        <v>3</v>
      </c>
      <c r="Q94" s="1">
        <v>3</v>
      </c>
      <c r="R94" s="1">
        <v>3</v>
      </c>
      <c r="S94" s="1">
        <v>3</v>
      </c>
      <c r="T94" s="1">
        <v>3</v>
      </c>
      <c r="U94" s="1">
        <v>3</v>
      </c>
      <c r="V94" s="1">
        <v>3</v>
      </c>
      <c r="W94" s="1">
        <v>3</v>
      </c>
      <c r="X94" s="1">
        <v>3</v>
      </c>
      <c r="Y94" s="1">
        <v>3</v>
      </c>
      <c r="Z94" s="1">
        <v>3</v>
      </c>
      <c r="AA94" s="1">
        <v>3</v>
      </c>
      <c r="AB94" s="6">
        <f t="shared" si="54"/>
        <v>45</v>
      </c>
    </row>
    <row r="95" spans="1:28" ht="13.5" hidden="1" outlineLevel="1">
      <c r="A95" s="357"/>
      <c r="B95" s="4"/>
      <c r="N95" s="9">
        <v>3</v>
      </c>
      <c r="O95" s="9">
        <v>3</v>
      </c>
      <c r="P95" s="9">
        <v>3</v>
      </c>
      <c r="Q95" s="9">
        <v>3</v>
      </c>
      <c r="R95" s="9">
        <v>3</v>
      </c>
      <c r="S95" s="9">
        <v>3</v>
      </c>
      <c r="T95" s="9">
        <v>3</v>
      </c>
      <c r="U95" s="9">
        <v>3</v>
      </c>
      <c r="V95" s="9">
        <v>3</v>
      </c>
      <c r="W95" s="9">
        <v>3</v>
      </c>
      <c r="X95" s="9">
        <v>3</v>
      </c>
      <c r="Y95" s="9">
        <v>3</v>
      </c>
      <c r="Z95" s="9">
        <v>3</v>
      </c>
      <c r="AA95" s="9">
        <v>3</v>
      </c>
      <c r="AB95" s="6">
        <f t="shared" si="54"/>
        <v>42</v>
      </c>
    </row>
    <row r="96" spans="1:28" ht="13.5" hidden="1" outlineLevel="1">
      <c r="A96" s="357"/>
      <c r="B96" s="4"/>
      <c r="P96" s="1">
        <v>3</v>
      </c>
      <c r="Q96" s="1">
        <v>3</v>
      </c>
      <c r="R96" s="1">
        <v>3</v>
      </c>
      <c r="S96" s="1">
        <v>3</v>
      </c>
      <c r="T96" s="1">
        <v>3</v>
      </c>
      <c r="U96" s="1">
        <v>3</v>
      </c>
      <c r="V96" s="1">
        <v>3</v>
      </c>
      <c r="W96" s="1">
        <v>3</v>
      </c>
      <c r="X96" s="1">
        <v>3</v>
      </c>
      <c r="Y96" s="1">
        <v>3</v>
      </c>
      <c r="Z96" s="1">
        <v>3</v>
      </c>
      <c r="AA96" s="1">
        <v>3</v>
      </c>
      <c r="AB96" s="6">
        <f t="shared" si="54"/>
        <v>36</v>
      </c>
    </row>
    <row r="97" spans="1:28" ht="13.5" hidden="1" outlineLevel="1">
      <c r="A97" s="357"/>
      <c r="B97" s="4"/>
      <c r="Q97" s="1">
        <v>3</v>
      </c>
      <c r="R97" s="1">
        <v>3</v>
      </c>
      <c r="S97" s="1">
        <v>3</v>
      </c>
      <c r="T97" s="1">
        <v>3</v>
      </c>
      <c r="U97" s="1">
        <v>3</v>
      </c>
      <c r="V97" s="1">
        <v>3</v>
      </c>
      <c r="W97" s="1">
        <v>3</v>
      </c>
      <c r="X97" s="1">
        <v>3</v>
      </c>
      <c r="Y97" s="1">
        <v>3</v>
      </c>
      <c r="Z97" s="1">
        <v>3</v>
      </c>
      <c r="AA97" s="1">
        <v>3</v>
      </c>
      <c r="AB97" s="6">
        <f t="shared" si="54"/>
        <v>33</v>
      </c>
    </row>
    <row r="98" spans="1:28" ht="13.5" hidden="1" outlineLevel="1">
      <c r="A98" s="357"/>
      <c r="B98" s="4"/>
      <c r="R98" s="1">
        <v>3</v>
      </c>
      <c r="S98" s="1">
        <v>3</v>
      </c>
      <c r="T98" s="1">
        <v>3</v>
      </c>
      <c r="U98" s="1">
        <v>3</v>
      </c>
      <c r="V98" s="1">
        <v>3</v>
      </c>
      <c r="W98" s="1">
        <v>3</v>
      </c>
      <c r="X98" s="1">
        <v>3</v>
      </c>
      <c r="Y98" s="1">
        <v>3</v>
      </c>
      <c r="Z98" s="1">
        <v>3</v>
      </c>
      <c r="AA98" s="1">
        <v>3</v>
      </c>
      <c r="AB98" s="6">
        <f t="shared" si="54"/>
        <v>30</v>
      </c>
    </row>
    <row r="99" spans="1:28" ht="13.5" hidden="1" outlineLevel="1">
      <c r="A99" s="357"/>
      <c r="B99" s="4"/>
      <c r="S99" s="1">
        <v>3</v>
      </c>
      <c r="T99" s="1">
        <v>3</v>
      </c>
      <c r="U99" s="1">
        <v>3</v>
      </c>
      <c r="V99" s="1">
        <v>3</v>
      </c>
      <c r="W99" s="1">
        <v>3</v>
      </c>
      <c r="X99" s="1">
        <v>3</v>
      </c>
      <c r="Y99" s="1">
        <v>3</v>
      </c>
      <c r="Z99" s="1">
        <v>3</v>
      </c>
      <c r="AA99" s="1">
        <v>3</v>
      </c>
      <c r="AB99" s="6">
        <f t="shared" si="54"/>
        <v>27</v>
      </c>
    </row>
    <row r="100" spans="1:28" ht="13.5" hidden="1" outlineLevel="1">
      <c r="A100" s="357"/>
      <c r="B100" s="4"/>
      <c r="T100" s="1">
        <v>3</v>
      </c>
      <c r="U100" s="1">
        <v>3</v>
      </c>
      <c r="V100" s="1">
        <v>3</v>
      </c>
      <c r="W100" s="1">
        <v>3</v>
      </c>
      <c r="X100" s="1">
        <v>3</v>
      </c>
      <c r="Y100" s="1">
        <v>3</v>
      </c>
      <c r="Z100" s="1">
        <v>3</v>
      </c>
      <c r="AA100" s="1">
        <v>3</v>
      </c>
      <c r="AB100" s="6">
        <f t="shared" si="54"/>
        <v>24</v>
      </c>
    </row>
    <row r="101" spans="1:28" ht="13.5" hidden="1" outlineLevel="1">
      <c r="A101" s="357"/>
      <c r="B101" s="4"/>
      <c r="U101" s="1">
        <v>3</v>
      </c>
      <c r="V101" s="1">
        <v>3</v>
      </c>
      <c r="W101" s="1">
        <v>3</v>
      </c>
      <c r="X101" s="1">
        <v>3</v>
      </c>
      <c r="Y101" s="1">
        <v>3</v>
      </c>
      <c r="Z101" s="1">
        <v>3</v>
      </c>
      <c r="AA101" s="1">
        <v>3</v>
      </c>
      <c r="AB101" s="6">
        <f t="shared" si="54"/>
        <v>21</v>
      </c>
    </row>
    <row r="102" spans="1:28" ht="13.5" hidden="1" outlineLevel="1">
      <c r="A102" s="357"/>
      <c r="B102" s="4"/>
      <c r="V102" s="1">
        <v>3</v>
      </c>
      <c r="W102" s="1">
        <v>3</v>
      </c>
      <c r="X102" s="1">
        <v>3</v>
      </c>
      <c r="Y102" s="1">
        <v>3</v>
      </c>
      <c r="Z102" s="1">
        <v>3</v>
      </c>
      <c r="AA102" s="1">
        <v>3</v>
      </c>
      <c r="AB102" s="6">
        <f t="shared" si="54"/>
        <v>18</v>
      </c>
    </row>
    <row r="103" spans="1:28" ht="13.5" hidden="1" outlineLevel="1">
      <c r="A103" s="357"/>
      <c r="B103" s="4"/>
      <c r="W103" s="1">
        <v>3</v>
      </c>
      <c r="X103" s="1">
        <v>3</v>
      </c>
      <c r="Y103" s="1">
        <v>3</v>
      </c>
      <c r="Z103" s="1">
        <v>3</v>
      </c>
      <c r="AA103" s="1">
        <v>3</v>
      </c>
      <c r="AB103" s="6">
        <f t="shared" si="54"/>
        <v>15</v>
      </c>
    </row>
    <row r="104" spans="1:28" ht="13.5" hidden="1" outlineLevel="1">
      <c r="A104" s="357"/>
      <c r="B104" s="4"/>
      <c r="X104" s="1">
        <v>3</v>
      </c>
      <c r="Y104" s="1">
        <v>3</v>
      </c>
      <c r="Z104" s="1">
        <v>3</v>
      </c>
      <c r="AA104" s="1">
        <v>3</v>
      </c>
      <c r="AB104" s="6">
        <f t="shared" si="54"/>
        <v>12</v>
      </c>
    </row>
    <row r="105" spans="1:28" ht="13.5" hidden="1" outlineLevel="1">
      <c r="A105" s="357"/>
      <c r="B105" s="4"/>
      <c r="Y105" s="1">
        <v>3</v>
      </c>
      <c r="Z105" s="1">
        <v>3</v>
      </c>
      <c r="AA105" s="1">
        <v>3</v>
      </c>
      <c r="AB105" s="6">
        <f t="shared" si="54"/>
        <v>9</v>
      </c>
    </row>
    <row r="106" spans="1:28" ht="13.5" hidden="1" outlineLevel="1">
      <c r="A106" s="357"/>
      <c r="B106" s="4"/>
      <c r="Z106" s="1">
        <v>3</v>
      </c>
      <c r="AA106" s="1">
        <v>3</v>
      </c>
      <c r="AB106" s="6">
        <f t="shared" si="54"/>
        <v>6</v>
      </c>
    </row>
    <row r="107" spans="1:28" ht="13.5" hidden="1" outlineLevel="1">
      <c r="A107" s="357"/>
      <c r="B107" s="4"/>
      <c r="N107" s="11"/>
      <c r="O107" s="11"/>
      <c r="AA107" s="1">
        <v>3</v>
      </c>
      <c r="AB107" s="6">
        <f t="shared" si="54"/>
        <v>3</v>
      </c>
    </row>
    <row r="108" spans="1:73" ht="15" collapsed="1">
      <c r="A108" s="13" t="s">
        <v>4</v>
      </c>
      <c r="B108" s="13"/>
      <c r="C108" s="13">
        <f>SUM(C84:C107)</f>
        <v>3</v>
      </c>
      <c r="D108" s="13">
        <f aca="true" t="shared" si="55" ref="D108:AA108">SUM(D84:D107)</f>
        <v>6</v>
      </c>
      <c r="E108" s="13">
        <f t="shared" si="55"/>
        <v>9</v>
      </c>
      <c r="F108" s="13">
        <f t="shared" si="55"/>
        <v>12</v>
      </c>
      <c r="G108" s="13">
        <f t="shared" si="55"/>
        <v>15</v>
      </c>
      <c r="H108" s="13">
        <f t="shared" si="55"/>
        <v>18</v>
      </c>
      <c r="I108" s="13">
        <f t="shared" si="55"/>
        <v>21</v>
      </c>
      <c r="J108" s="13">
        <f t="shared" si="55"/>
        <v>24</v>
      </c>
      <c r="K108" s="13">
        <f t="shared" si="55"/>
        <v>27</v>
      </c>
      <c r="L108" s="13">
        <f t="shared" si="55"/>
        <v>30</v>
      </c>
      <c r="M108" s="13">
        <f t="shared" si="55"/>
        <v>33</v>
      </c>
      <c r="N108" s="9">
        <f t="shared" si="55"/>
        <v>36</v>
      </c>
      <c r="O108" s="63">
        <f>SUM(C108:N108)</f>
        <v>234</v>
      </c>
      <c r="P108" s="1">
        <f t="shared" si="55"/>
        <v>39</v>
      </c>
      <c r="Q108" s="1">
        <f t="shared" si="55"/>
        <v>42</v>
      </c>
      <c r="R108" s="1">
        <f t="shared" si="55"/>
        <v>45</v>
      </c>
      <c r="S108" s="1">
        <f t="shared" si="55"/>
        <v>48</v>
      </c>
      <c r="T108" s="1">
        <f t="shared" si="55"/>
        <v>51</v>
      </c>
      <c r="U108" s="1">
        <f t="shared" si="55"/>
        <v>54</v>
      </c>
      <c r="V108" s="1">
        <f t="shared" si="55"/>
        <v>57</v>
      </c>
      <c r="W108" s="1">
        <f t="shared" si="55"/>
        <v>60</v>
      </c>
      <c r="X108" s="1">
        <f t="shared" si="55"/>
        <v>63</v>
      </c>
      <c r="Y108" s="1">
        <f t="shared" si="55"/>
        <v>66</v>
      </c>
      <c r="Z108" s="1">
        <f t="shared" si="55"/>
        <v>69</v>
      </c>
      <c r="AA108" s="1">
        <f t="shared" si="55"/>
        <v>72</v>
      </c>
      <c r="AB108" s="81">
        <f t="shared" si="54"/>
        <v>1134</v>
      </c>
      <c r="AC108" s="200"/>
      <c r="AD108" s="200"/>
      <c r="AE108" s="200"/>
      <c r="AF108" s="200"/>
      <c r="AG108" s="200"/>
      <c r="AH108" s="200"/>
      <c r="AI108" s="200"/>
      <c r="AJ108" s="200"/>
      <c r="AK108" s="200"/>
      <c r="AL108" s="200"/>
      <c r="AM108" s="200"/>
      <c r="AN108" s="200"/>
      <c r="AO108" s="200"/>
      <c r="AP108" s="200"/>
      <c r="AQ108" s="200"/>
      <c r="AR108" s="200"/>
      <c r="AS108" s="200"/>
      <c r="AT108" s="200"/>
      <c r="AU108" s="200"/>
      <c r="AV108" s="200"/>
      <c r="AW108" s="200"/>
      <c r="AX108" s="200"/>
      <c r="AY108" s="200"/>
      <c r="AZ108" s="200"/>
      <c r="BA108" s="200"/>
      <c r="BB108" s="200"/>
      <c r="BC108" s="200"/>
      <c r="BD108" s="200"/>
      <c r="BE108" s="200"/>
      <c r="BF108" s="200"/>
      <c r="BG108" s="200"/>
      <c r="BH108" s="200"/>
      <c r="BI108" s="200"/>
      <c r="BJ108" s="200"/>
      <c r="BK108" s="200"/>
      <c r="BL108" s="200"/>
      <c r="BM108" s="200"/>
      <c r="BN108" s="200"/>
      <c r="BO108" s="200"/>
      <c r="BP108" s="200"/>
      <c r="BQ108" s="200"/>
      <c r="BR108" s="200"/>
      <c r="BS108" s="200"/>
      <c r="BT108" s="200"/>
      <c r="BU108" s="200"/>
    </row>
    <row r="109" spans="1:73" ht="15">
      <c r="A109" s="16" t="s">
        <v>47</v>
      </c>
      <c r="B109" s="13"/>
      <c r="C109" s="19">
        <f>C110+C110*C111</f>
        <v>11424</v>
      </c>
      <c r="D109" s="19">
        <f aca="true" t="shared" si="56" ref="D109:N109">D110+D110*D111</f>
        <v>11424</v>
      </c>
      <c r="E109" s="19">
        <f t="shared" si="56"/>
        <v>11424</v>
      </c>
      <c r="F109" s="19">
        <f t="shared" si="56"/>
        <v>11424</v>
      </c>
      <c r="G109" s="19">
        <f t="shared" si="56"/>
        <v>11424</v>
      </c>
      <c r="H109" s="19">
        <f t="shared" si="56"/>
        <v>11424</v>
      </c>
      <c r="I109" s="19">
        <f t="shared" si="56"/>
        <v>11424</v>
      </c>
      <c r="J109" s="19">
        <f t="shared" si="56"/>
        <v>11424</v>
      </c>
      <c r="K109" s="19">
        <f t="shared" si="56"/>
        <v>11424</v>
      </c>
      <c r="L109" s="19">
        <f t="shared" si="56"/>
        <v>11424</v>
      </c>
      <c r="M109" s="19">
        <f t="shared" si="56"/>
        <v>11424</v>
      </c>
      <c r="N109" s="19">
        <f t="shared" si="56"/>
        <v>11424</v>
      </c>
      <c r="O109" s="58">
        <f>(C109+D109+E109+F109+G109+H109+I109+J109+K109+L109+M109+N109)/12</f>
        <v>11424</v>
      </c>
      <c r="P109" s="19">
        <f aca="true" t="shared" si="57" ref="P109:AA109">P110+P110*P111</f>
        <v>11424</v>
      </c>
      <c r="Q109" s="19">
        <f t="shared" si="57"/>
        <v>11424</v>
      </c>
      <c r="R109" s="19">
        <f t="shared" si="57"/>
        <v>11424</v>
      </c>
      <c r="S109" s="19">
        <f t="shared" si="57"/>
        <v>11424</v>
      </c>
      <c r="T109" s="19">
        <f t="shared" si="57"/>
        <v>11424</v>
      </c>
      <c r="U109" s="19">
        <f t="shared" si="57"/>
        <v>11424</v>
      </c>
      <c r="V109" s="19">
        <f t="shared" si="57"/>
        <v>11424</v>
      </c>
      <c r="W109" s="19">
        <f t="shared" si="57"/>
        <v>11424</v>
      </c>
      <c r="X109" s="19">
        <f t="shared" si="57"/>
        <v>11424</v>
      </c>
      <c r="Y109" s="19">
        <f t="shared" si="57"/>
        <v>11424</v>
      </c>
      <c r="Z109" s="19">
        <f t="shared" si="57"/>
        <v>11424</v>
      </c>
      <c r="AA109" s="217">
        <f t="shared" si="57"/>
        <v>11424</v>
      </c>
      <c r="AB109" s="81">
        <v>7500</v>
      </c>
      <c r="AC109" s="200"/>
      <c r="AD109" s="200"/>
      <c r="AE109" s="200"/>
      <c r="AF109" s="200"/>
      <c r="AG109" s="200"/>
      <c r="AH109" s="200"/>
      <c r="AI109" s="200"/>
      <c r="AJ109" s="200"/>
      <c r="AK109" s="200"/>
      <c r="AL109" s="200"/>
      <c r="AM109" s="200"/>
      <c r="AN109" s="200"/>
      <c r="AO109" s="200"/>
      <c r="AP109" s="200"/>
      <c r="AQ109" s="200"/>
      <c r="AR109" s="200"/>
      <c r="AS109" s="200"/>
      <c r="AT109" s="200"/>
      <c r="AU109" s="200"/>
      <c r="AV109" s="200"/>
      <c r="AW109" s="200"/>
      <c r="AX109" s="200"/>
      <c r="AY109" s="200"/>
      <c r="AZ109" s="200"/>
      <c r="BA109" s="200"/>
      <c r="BB109" s="200"/>
      <c r="BC109" s="200"/>
      <c r="BD109" s="200"/>
      <c r="BE109" s="200"/>
      <c r="BF109" s="200"/>
      <c r="BG109" s="200"/>
      <c r="BH109" s="200"/>
      <c r="BI109" s="200"/>
      <c r="BJ109" s="200"/>
      <c r="BK109" s="200"/>
      <c r="BL109" s="200"/>
      <c r="BM109" s="200"/>
      <c r="BN109" s="200"/>
      <c r="BO109" s="200"/>
      <c r="BP109" s="200"/>
      <c r="BQ109" s="200"/>
      <c r="BR109" s="200"/>
      <c r="BS109" s="200"/>
      <c r="BT109" s="200"/>
      <c r="BU109" s="200"/>
    </row>
    <row r="110" spans="1:73" ht="15">
      <c r="A110" s="16" t="s">
        <v>64</v>
      </c>
      <c r="B110" s="37" t="s">
        <v>65</v>
      </c>
      <c r="C110" s="51">
        <f>пар!B52</f>
        <v>9520</v>
      </c>
      <c r="D110" s="13">
        <f>C110</f>
        <v>9520</v>
      </c>
      <c r="E110" s="13">
        <f aca="true" t="shared" si="58" ref="E110:N110">D110</f>
        <v>9520</v>
      </c>
      <c r="F110" s="13">
        <f t="shared" si="58"/>
        <v>9520</v>
      </c>
      <c r="G110" s="13">
        <f t="shared" si="58"/>
        <v>9520</v>
      </c>
      <c r="H110" s="13">
        <f t="shared" si="58"/>
        <v>9520</v>
      </c>
      <c r="I110" s="13">
        <f t="shared" si="58"/>
        <v>9520</v>
      </c>
      <c r="J110" s="13">
        <f t="shared" si="58"/>
        <v>9520</v>
      </c>
      <c r="K110" s="13">
        <f t="shared" si="58"/>
        <v>9520</v>
      </c>
      <c r="L110" s="13">
        <f t="shared" si="58"/>
        <v>9520</v>
      </c>
      <c r="M110" s="13">
        <f t="shared" si="58"/>
        <v>9520</v>
      </c>
      <c r="N110" s="13">
        <f t="shared" si="58"/>
        <v>9520</v>
      </c>
      <c r="O110" s="58">
        <f>(C110+D110+E110+F110+G110+H110+I110+J110+K110+L110+M110+N110)/12</f>
        <v>9520</v>
      </c>
      <c r="P110" s="35">
        <f>C110</f>
        <v>9520</v>
      </c>
      <c r="Q110" s="35">
        <f>P110</f>
        <v>9520</v>
      </c>
      <c r="R110" s="35">
        <f aca="true" t="shared" si="59" ref="R110:AA110">Q110</f>
        <v>9520</v>
      </c>
      <c r="S110" s="35">
        <f t="shared" si="59"/>
        <v>9520</v>
      </c>
      <c r="T110" s="35">
        <f t="shared" si="59"/>
        <v>9520</v>
      </c>
      <c r="U110" s="35">
        <f t="shared" si="59"/>
        <v>9520</v>
      </c>
      <c r="V110" s="35">
        <f t="shared" si="59"/>
        <v>9520</v>
      </c>
      <c r="W110" s="35">
        <f t="shared" si="59"/>
        <v>9520</v>
      </c>
      <c r="X110" s="35">
        <f t="shared" si="59"/>
        <v>9520</v>
      </c>
      <c r="Y110" s="35">
        <f t="shared" si="59"/>
        <v>9520</v>
      </c>
      <c r="Z110" s="35">
        <f t="shared" si="59"/>
        <v>9520</v>
      </c>
      <c r="AA110" s="208">
        <f t="shared" si="59"/>
        <v>9520</v>
      </c>
      <c r="AB110" s="58">
        <f>(P110+Q110+R110+S110+T110+U110+V110+W110+X110+Y110+Z110+AA110)/12</f>
        <v>9520</v>
      </c>
      <c r="AC110" s="200"/>
      <c r="AD110" s="200"/>
      <c r="AE110" s="200"/>
      <c r="AF110" s="200"/>
      <c r="AG110" s="200"/>
      <c r="AH110" s="200"/>
      <c r="AI110" s="200"/>
      <c r="AJ110" s="200"/>
      <c r="AK110" s="200"/>
      <c r="AL110" s="200"/>
      <c r="AM110" s="200"/>
      <c r="AN110" s="200"/>
      <c r="AO110" s="200"/>
      <c r="AP110" s="200"/>
      <c r="AQ110" s="200"/>
      <c r="AR110" s="200"/>
      <c r="AS110" s="200"/>
      <c r="AT110" s="200"/>
      <c r="AU110" s="200"/>
      <c r="AV110" s="200"/>
      <c r="AW110" s="200"/>
      <c r="AX110" s="200"/>
      <c r="AY110" s="200"/>
      <c r="AZ110" s="200"/>
      <c r="BA110" s="200"/>
      <c r="BB110" s="200"/>
      <c r="BC110" s="200"/>
      <c r="BD110" s="200"/>
      <c r="BE110" s="200"/>
      <c r="BF110" s="200"/>
      <c r="BG110" s="200"/>
      <c r="BH110" s="200"/>
      <c r="BI110" s="200"/>
      <c r="BJ110" s="200"/>
      <c r="BK110" s="200"/>
      <c r="BL110" s="200"/>
      <c r="BM110" s="200"/>
      <c r="BN110" s="200"/>
      <c r="BO110" s="200"/>
      <c r="BP110" s="200"/>
      <c r="BQ110" s="200"/>
      <c r="BR110" s="200"/>
      <c r="BS110" s="200"/>
      <c r="BT110" s="200"/>
      <c r="BU110" s="200"/>
    </row>
    <row r="111" spans="1:73" ht="15">
      <c r="A111" s="16" t="s">
        <v>70</v>
      </c>
      <c r="B111" s="13"/>
      <c r="C111" s="49">
        <f>пар!B53</f>
        <v>0.2</v>
      </c>
      <c r="D111" s="17">
        <f>C111</f>
        <v>0.2</v>
      </c>
      <c r="E111" s="17">
        <f>D111</f>
        <v>0.2</v>
      </c>
      <c r="F111" s="17">
        <f aca="true" t="shared" si="60" ref="F111:N111">E111</f>
        <v>0.2</v>
      </c>
      <c r="G111" s="17">
        <f t="shared" si="60"/>
        <v>0.2</v>
      </c>
      <c r="H111" s="17">
        <f t="shared" si="60"/>
        <v>0.2</v>
      </c>
      <c r="I111" s="17">
        <f t="shared" si="60"/>
        <v>0.2</v>
      </c>
      <c r="J111" s="17">
        <f t="shared" si="60"/>
        <v>0.2</v>
      </c>
      <c r="K111" s="17">
        <f t="shared" si="60"/>
        <v>0.2</v>
      </c>
      <c r="L111" s="17">
        <f t="shared" si="60"/>
        <v>0.2</v>
      </c>
      <c r="M111" s="17">
        <f t="shared" si="60"/>
        <v>0.2</v>
      </c>
      <c r="N111" s="17">
        <f t="shared" si="60"/>
        <v>0.2</v>
      </c>
      <c r="O111" s="60">
        <f>(C111+D111+E111+F111+G111+H111+I111+J111+K111+L111+M111+N111)/12</f>
        <v>0.19999999999999998</v>
      </c>
      <c r="P111" s="17">
        <f>C111</f>
        <v>0.2</v>
      </c>
      <c r="Q111" s="17">
        <f>P111</f>
        <v>0.2</v>
      </c>
      <c r="R111" s="17">
        <f aca="true" t="shared" si="61" ref="R111:AA111">Q111</f>
        <v>0.2</v>
      </c>
      <c r="S111" s="17">
        <f t="shared" si="61"/>
        <v>0.2</v>
      </c>
      <c r="T111" s="17">
        <f t="shared" si="61"/>
        <v>0.2</v>
      </c>
      <c r="U111" s="17">
        <f t="shared" si="61"/>
        <v>0.2</v>
      </c>
      <c r="V111" s="17">
        <f t="shared" si="61"/>
        <v>0.2</v>
      </c>
      <c r="W111" s="17">
        <f t="shared" si="61"/>
        <v>0.2</v>
      </c>
      <c r="X111" s="17">
        <f t="shared" si="61"/>
        <v>0.2</v>
      </c>
      <c r="Y111" s="17">
        <f t="shared" si="61"/>
        <v>0.2</v>
      </c>
      <c r="Z111" s="17">
        <f t="shared" si="61"/>
        <v>0.2</v>
      </c>
      <c r="AA111" s="218">
        <f t="shared" si="61"/>
        <v>0.2</v>
      </c>
      <c r="AB111" s="60">
        <f>(P111+Q111+R111+S111+T111+U111+V111+W111+X111+Y111+Z111+AA111)/12</f>
        <v>0.19999999999999998</v>
      </c>
      <c r="AC111" s="200"/>
      <c r="AD111" s="200"/>
      <c r="AE111" s="200"/>
      <c r="AF111" s="200"/>
      <c r="AG111" s="200"/>
      <c r="AH111" s="200"/>
      <c r="AI111" s="200"/>
      <c r="AJ111" s="200"/>
      <c r="AK111" s="200"/>
      <c r="AL111" s="200"/>
      <c r="AM111" s="200"/>
      <c r="AN111" s="200"/>
      <c r="AO111" s="200"/>
      <c r="AP111" s="200"/>
      <c r="AQ111" s="200"/>
      <c r="AR111" s="200"/>
      <c r="AS111" s="200"/>
      <c r="AT111" s="200"/>
      <c r="AU111" s="200"/>
      <c r="AV111" s="200"/>
      <c r="AW111" s="200"/>
      <c r="AX111" s="200"/>
      <c r="AY111" s="200"/>
      <c r="AZ111" s="200"/>
      <c r="BA111" s="200"/>
      <c r="BB111" s="200"/>
      <c r="BC111" s="200"/>
      <c r="BD111" s="200"/>
      <c r="BE111" s="200"/>
      <c r="BF111" s="200"/>
      <c r="BG111" s="200"/>
      <c r="BH111" s="200"/>
      <c r="BI111" s="200"/>
      <c r="BJ111" s="200"/>
      <c r="BK111" s="200"/>
      <c r="BL111" s="200"/>
      <c r="BM111" s="200"/>
      <c r="BN111" s="200"/>
      <c r="BO111" s="200"/>
      <c r="BP111" s="200"/>
      <c r="BQ111" s="200"/>
      <c r="BR111" s="200"/>
      <c r="BS111" s="200"/>
      <c r="BT111" s="200"/>
      <c r="BU111" s="200"/>
    </row>
    <row r="112" spans="1:73" ht="15">
      <c r="A112" s="13" t="s">
        <v>74</v>
      </c>
      <c r="B112" s="37" t="s">
        <v>65</v>
      </c>
      <c r="C112" s="35">
        <f>C108*C109</f>
        <v>34272</v>
      </c>
      <c r="D112" s="35">
        <f>D108*D109</f>
        <v>68544</v>
      </c>
      <c r="E112" s="35">
        <f>E108*E109</f>
        <v>102816</v>
      </c>
      <c r="F112" s="35">
        <f aca="true" t="shared" si="62" ref="F112:N112">F108*F109</f>
        <v>137088</v>
      </c>
      <c r="G112" s="35">
        <f t="shared" si="62"/>
        <v>171360</v>
      </c>
      <c r="H112" s="35">
        <f t="shared" si="62"/>
        <v>205632</v>
      </c>
      <c r="I112" s="35">
        <f t="shared" si="62"/>
        <v>239904</v>
      </c>
      <c r="J112" s="35">
        <f t="shared" si="62"/>
        <v>274176</v>
      </c>
      <c r="K112" s="35">
        <f t="shared" si="62"/>
        <v>308448</v>
      </c>
      <c r="L112" s="35">
        <f t="shared" si="62"/>
        <v>342720</v>
      </c>
      <c r="M112" s="35">
        <f t="shared" si="62"/>
        <v>376992</v>
      </c>
      <c r="N112" s="35">
        <f t="shared" si="62"/>
        <v>411264</v>
      </c>
      <c r="O112" s="64">
        <f>SUM(C112:N112)</f>
        <v>2673216</v>
      </c>
      <c r="P112" s="40">
        <f aca="true" t="shared" si="63" ref="P112:AA112">7500*P108</f>
        <v>292500</v>
      </c>
      <c r="Q112" s="40">
        <f t="shared" si="63"/>
        <v>315000</v>
      </c>
      <c r="R112" s="40">
        <f t="shared" si="63"/>
        <v>337500</v>
      </c>
      <c r="S112" s="40">
        <f t="shared" si="63"/>
        <v>360000</v>
      </c>
      <c r="T112" s="40">
        <f t="shared" si="63"/>
        <v>382500</v>
      </c>
      <c r="U112" s="40">
        <f t="shared" si="63"/>
        <v>405000</v>
      </c>
      <c r="V112" s="40">
        <f t="shared" si="63"/>
        <v>427500</v>
      </c>
      <c r="W112" s="40">
        <f t="shared" si="63"/>
        <v>450000</v>
      </c>
      <c r="X112" s="40">
        <f t="shared" si="63"/>
        <v>472500</v>
      </c>
      <c r="Y112" s="40">
        <f t="shared" si="63"/>
        <v>495000</v>
      </c>
      <c r="Z112" s="40">
        <f t="shared" si="63"/>
        <v>517500</v>
      </c>
      <c r="AA112" s="40">
        <f t="shared" si="63"/>
        <v>540000</v>
      </c>
      <c r="AB112" s="64">
        <f>SUM(P112:AA112)</f>
        <v>4995000</v>
      </c>
      <c r="AC112" s="200"/>
      <c r="AD112" s="200"/>
      <c r="AE112" s="200"/>
      <c r="AF112" s="200"/>
      <c r="AG112" s="200"/>
      <c r="AH112" s="200"/>
      <c r="AI112" s="200"/>
      <c r="AJ112" s="200"/>
      <c r="AK112" s="200"/>
      <c r="AL112" s="200"/>
      <c r="AM112" s="200"/>
      <c r="AN112" s="200"/>
      <c r="AO112" s="200"/>
      <c r="AP112" s="200"/>
      <c r="AQ112" s="200"/>
      <c r="AR112" s="200"/>
      <c r="AS112" s="200"/>
      <c r="AT112" s="200"/>
      <c r="AU112" s="200"/>
      <c r="AV112" s="200"/>
      <c r="AW112" s="200"/>
      <c r="AX112" s="200"/>
      <c r="AY112" s="200"/>
      <c r="AZ112" s="200"/>
      <c r="BA112" s="200"/>
      <c r="BB112" s="200"/>
      <c r="BC112" s="200"/>
      <c r="BD112" s="200"/>
      <c r="BE112" s="200"/>
      <c r="BF112" s="200"/>
      <c r="BG112" s="200"/>
      <c r="BH112" s="200"/>
      <c r="BI112" s="200"/>
      <c r="BJ112" s="200"/>
      <c r="BK112" s="200"/>
      <c r="BL112" s="200"/>
      <c r="BM112" s="200"/>
      <c r="BN112" s="200"/>
      <c r="BO112" s="200"/>
      <c r="BP112" s="200"/>
      <c r="BQ112" s="200"/>
      <c r="BR112" s="200"/>
      <c r="BS112" s="200"/>
      <c r="BT112" s="200"/>
      <c r="BU112" s="200"/>
    </row>
    <row r="113" spans="1:73" ht="15">
      <c r="A113" s="43" t="s">
        <v>75</v>
      </c>
      <c r="B113" s="37" t="s">
        <v>65</v>
      </c>
      <c r="C113" s="35">
        <f>C110*C108</f>
        <v>28560</v>
      </c>
      <c r="D113" s="35">
        <f>D110*D108</f>
        <v>57120</v>
      </c>
      <c r="E113" s="35">
        <f>E110*E108</f>
        <v>85680</v>
      </c>
      <c r="F113" s="35">
        <f aca="true" t="shared" si="64" ref="F113:N113">F110*F108</f>
        <v>114240</v>
      </c>
      <c r="G113" s="35">
        <f t="shared" si="64"/>
        <v>142800</v>
      </c>
      <c r="H113" s="35">
        <f t="shared" si="64"/>
        <v>171360</v>
      </c>
      <c r="I113" s="35">
        <f t="shared" si="64"/>
        <v>199920</v>
      </c>
      <c r="J113" s="35">
        <f t="shared" si="64"/>
        <v>228480</v>
      </c>
      <c r="K113" s="35">
        <f t="shared" si="64"/>
        <v>257040</v>
      </c>
      <c r="L113" s="35">
        <f t="shared" si="64"/>
        <v>285600</v>
      </c>
      <c r="M113" s="35">
        <f t="shared" si="64"/>
        <v>314160</v>
      </c>
      <c r="N113" s="35">
        <f t="shared" si="64"/>
        <v>342720</v>
      </c>
      <c r="O113" s="64">
        <f>SUM(C113:N113)</f>
        <v>2227680</v>
      </c>
      <c r="P113" s="20">
        <f aca="true" t="shared" si="65" ref="P113:AA113">(D113+E113+F113+G113+H113+I113+J113+K113+L113+M113+N113+O113)/12</f>
        <v>368900</v>
      </c>
      <c r="Q113" s="20">
        <f t="shared" si="65"/>
        <v>394881.6666666667</v>
      </c>
      <c r="R113" s="20">
        <f t="shared" si="65"/>
        <v>420648.47222222225</v>
      </c>
      <c r="S113" s="20">
        <f t="shared" si="65"/>
        <v>446182.5115740741</v>
      </c>
      <c r="T113" s="20">
        <f t="shared" si="65"/>
        <v>471464.3875385802</v>
      </c>
      <c r="U113" s="20">
        <f t="shared" si="65"/>
        <v>496473.08650012856</v>
      </c>
      <c r="V113" s="20">
        <f t="shared" si="65"/>
        <v>521185.8437084726</v>
      </c>
      <c r="W113" s="20">
        <f t="shared" si="65"/>
        <v>545577.9973508454</v>
      </c>
      <c r="X113" s="20">
        <f t="shared" si="65"/>
        <v>569622.8304634158</v>
      </c>
      <c r="Y113" s="20">
        <f t="shared" si="65"/>
        <v>593291.3996687004</v>
      </c>
      <c r="Z113" s="20">
        <f t="shared" si="65"/>
        <v>616552.3496410921</v>
      </c>
      <c r="AA113" s="219">
        <f t="shared" si="65"/>
        <v>639371.7121111831</v>
      </c>
      <c r="AB113" s="64">
        <f>SUM(P113:AA113)</f>
        <v>6084152.257445382</v>
      </c>
      <c r="AC113" s="200"/>
      <c r="AD113" s="200"/>
      <c r="AE113" s="200"/>
      <c r="AF113" s="200"/>
      <c r="AG113" s="200"/>
      <c r="AH113" s="200"/>
      <c r="AI113" s="200"/>
      <c r="AJ113" s="200"/>
      <c r="AK113" s="200"/>
      <c r="AL113" s="200"/>
      <c r="AM113" s="200"/>
      <c r="AN113" s="200"/>
      <c r="AO113" s="200"/>
      <c r="AP113" s="200"/>
      <c r="AQ113" s="200"/>
      <c r="AR113" s="200"/>
      <c r="AS113" s="200"/>
      <c r="AT113" s="200"/>
      <c r="AU113" s="200"/>
      <c r="AV113" s="200"/>
      <c r="AW113" s="200"/>
      <c r="AX113" s="200"/>
      <c r="AY113" s="200"/>
      <c r="AZ113" s="200"/>
      <c r="BA113" s="200"/>
      <c r="BB113" s="200"/>
      <c r="BC113" s="200"/>
      <c r="BD113" s="200"/>
      <c r="BE113" s="200"/>
      <c r="BF113" s="200"/>
      <c r="BG113" s="200"/>
      <c r="BH113" s="200"/>
      <c r="BI113" s="200"/>
      <c r="BJ113" s="200"/>
      <c r="BK113" s="200"/>
      <c r="BL113" s="200"/>
      <c r="BM113" s="200"/>
      <c r="BN113" s="200"/>
      <c r="BO113" s="200"/>
      <c r="BP113" s="200"/>
      <c r="BQ113" s="200"/>
      <c r="BR113" s="200"/>
      <c r="BS113" s="200"/>
      <c r="BT113" s="200"/>
      <c r="BU113" s="200"/>
    </row>
    <row r="114" spans="1:73" ht="15">
      <c r="A114" s="44" t="s">
        <v>50</v>
      </c>
      <c r="B114" s="37" t="s">
        <v>65</v>
      </c>
      <c r="C114" s="46">
        <f>C112-C113</f>
        <v>5712</v>
      </c>
      <c r="D114" s="46">
        <f aca="true" t="shared" si="66" ref="D114:O114">D112-D113</f>
        <v>11424</v>
      </c>
      <c r="E114" s="46">
        <f t="shared" si="66"/>
        <v>17136</v>
      </c>
      <c r="F114" s="46">
        <f t="shared" si="66"/>
        <v>22848</v>
      </c>
      <c r="G114" s="46">
        <f t="shared" si="66"/>
        <v>28560</v>
      </c>
      <c r="H114" s="46">
        <f t="shared" si="66"/>
        <v>34272</v>
      </c>
      <c r="I114" s="46">
        <f t="shared" si="66"/>
        <v>39984</v>
      </c>
      <c r="J114" s="46">
        <f t="shared" si="66"/>
        <v>45696</v>
      </c>
      <c r="K114" s="46">
        <f t="shared" si="66"/>
        <v>51408</v>
      </c>
      <c r="L114" s="46">
        <f t="shared" si="66"/>
        <v>57120</v>
      </c>
      <c r="M114" s="46">
        <f t="shared" si="66"/>
        <v>62832</v>
      </c>
      <c r="N114" s="46">
        <f t="shared" si="66"/>
        <v>68544</v>
      </c>
      <c r="O114" s="65">
        <f t="shared" si="66"/>
        <v>445536</v>
      </c>
      <c r="P114" s="46">
        <f aca="true" t="shared" si="67" ref="P114:AA114">P112-P113</f>
        <v>-76400</v>
      </c>
      <c r="Q114" s="46">
        <f t="shared" si="67"/>
        <v>-79881.66666666669</v>
      </c>
      <c r="R114" s="46">
        <f t="shared" si="67"/>
        <v>-83148.47222222225</v>
      </c>
      <c r="S114" s="46">
        <f t="shared" si="67"/>
        <v>-86182.5115740741</v>
      </c>
      <c r="T114" s="46">
        <f t="shared" si="67"/>
        <v>-88964.38753858022</v>
      </c>
      <c r="U114" s="46">
        <f t="shared" si="67"/>
        <v>-91473.08650012856</v>
      </c>
      <c r="V114" s="46">
        <f t="shared" si="67"/>
        <v>-93685.84370847262</v>
      </c>
      <c r="W114" s="46">
        <f t="shared" si="67"/>
        <v>-95577.99735084537</v>
      </c>
      <c r="X114" s="46">
        <f t="shared" si="67"/>
        <v>-97122.83046341583</v>
      </c>
      <c r="Y114" s="46">
        <f t="shared" si="67"/>
        <v>-98291.39966870041</v>
      </c>
      <c r="Z114" s="46">
        <f t="shared" si="67"/>
        <v>-99052.34964109212</v>
      </c>
      <c r="AA114" s="220">
        <f t="shared" si="67"/>
        <v>-99371.7121111831</v>
      </c>
      <c r="AB114" s="64">
        <f>SUM(P114:AA114)</f>
        <v>-1089152.2574453813</v>
      </c>
      <c r="AC114" s="200"/>
      <c r="AD114" s="200"/>
      <c r="AE114" s="200"/>
      <c r="AF114" s="200"/>
      <c r="AG114" s="200"/>
      <c r="AH114" s="200"/>
      <c r="AI114" s="200"/>
      <c r="AJ114" s="200"/>
      <c r="AK114" s="200"/>
      <c r="AL114" s="200"/>
      <c r="AM114" s="200"/>
      <c r="AN114" s="200"/>
      <c r="AO114" s="200"/>
      <c r="AP114" s="200"/>
      <c r="AQ114" s="200"/>
      <c r="AR114" s="200"/>
      <c r="AS114" s="200"/>
      <c r="AT114" s="200"/>
      <c r="AU114" s="200"/>
      <c r="AV114" s="200"/>
      <c r="AW114" s="200"/>
      <c r="AX114" s="200"/>
      <c r="AY114" s="200"/>
      <c r="AZ114" s="200"/>
      <c r="BA114" s="200"/>
      <c r="BB114" s="200"/>
      <c r="BC114" s="200"/>
      <c r="BD114" s="200"/>
      <c r="BE114" s="200"/>
      <c r="BF114" s="200"/>
      <c r="BG114" s="200"/>
      <c r="BH114" s="200"/>
      <c r="BI114" s="200"/>
      <c r="BJ114" s="200"/>
      <c r="BK114" s="200"/>
      <c r="BL114" s="200"/>
      <c r="BM114" s="200"/>
      <c r="BN114" s="200"/>
      <c r="BO114" s="200"/>
      <c r="BP114" s="200"/>
      <c r="BQ114" s="200"/>
      <c r="BR114" s="200"/>
      <c r="BS114" s="200"/>
      <c r="BT114" s="200"/>
      <c r="BU114" s="200"/>
    </row>
    <row r="115" spans="1:74" s="47" customFormat="1" ht="15">
      <c r="A115" s="47" t="s">
        <v>76</v>
      </c>
      <c r="C115" s="48">
        <f aca="true" t="shared" si="68" ref="C115:AB115">C112+C78+C41</f>
        <v>332579.5</v>
      </c>
      <c r="D115" s="48">
        <f t="shared" si="68"/>
        <v>478428.75</v>
      </c>
      <c r="E115" s="48">
        <f t="shared" si="68"/>
        <v>607721.9</v>
      </c>
      <c r="F115" s="48">
        <f t="shared" si="68"/>
        <v>624132.55</v>
      </c>
      <c r="G115" s="48">
        <f t="shared" si="68"/>
        <v>707018.45</v>
      </c>
      <c r="H115" s="48">
        <f t="shared" si="68"/>
        <v>797680.7</v>
      </c>
      <c r="I115" s="48">
        <f t="shared" si="68"/>
        <v>888342.95</v>
      </c>
      <c r="J115" s="48">
        <f t="shared" si="68"/>
        <v>979005.2</v>
      </c>
      <c r="K115" s="48">
        <f t="shared" si="68"/>
        <v>1069667.45</v>
      </c>
      <c r="L115" s="48">
        <f t="shared" si="68"/>
        <v>1160329.7</v>
      </c>
      <c r="M115" s="48">
        <f t="shared" si="68"/>
        <v>1250991.95</v>
      </c>
      <c r="N115" s="48">
        <f t="shared" si="68"/>
        <v>1341654.2</v>
      </c>
      <c r="O115" s="54">
        <f t="shared" si="68"/>
        <v>10237553.3</v>
      </c>
      <c r="P115" s="48">
        <f t="shared" si="68"/>
        <v>1279280.45</v>
      </c>
      <c r="Q115" s="48">
        <f t="shared" si="68"/>
        <v>1358170.7</v>
      </c>
      <c r="R115" s="48">
        <f t="shared" si="68"/>
        <v>1437060.95</v>
      </c>
      <c r="S115" s="48">
        <f t="shared" si="68"/>
        <v>1515951.2</v>
      </c>
      <c r="T115" s="48">
        <f t="shared" si="68"/>
        <v>1594841.45</v>
      </c>
      <c r="U115" s="48">
        <f t="shared" si="68"/>
        <v>1673731.7</v>
      </c>
      <c r="V115" s="48">
        <f t="shared" si="68"/>
        <v>1752621.95</v>
      </c>
      <c r="W115" s="48">
        <f t="shared" si="68"/>
        <v>1831512.2</v>
      </c>
      <c r="X115" s="48">
        <f t="shared" si="68"/>
        <v>1910402.45</v>
      </c>
      <c r="Y115" s="48">
        <f t="shared" si="68"/>
        <v>1989292.7</v>
      </c>
      <c r="Z115" s="48">
        <f t="shared" si="68"/>
        <v>2068182.95</v>
      </c>
      <c r="AA115" s="212">
        <f t="shared" si="68"/>
        <v>2147073.2</v>
      </c>
      <c r="AB115" s="54">
        <f t="shared" si="68"/>
        <v>35686796.49999999</v>
      </c>
      <c r="AC115" s="200"/>
      <c r="AD115" s="200"/>
      <c r="AE115" s="200"/>
      <c r="AF115" s="200"/>
      <c r="AG115" s="200"/>
      <c r="AH115" s="200"/>
      <c r="AI115" s="200"/>
      <c r="AJ115" s="200"/>
      <c r="AK115" s="200"/>
      <c r="AL115" s="200"/>
      <c r="AM115" s="200"/>
      <c r="AN115" s="200"/>
      <c r="AO115" s="200"/>
      <c r="AP115" s="200"/>
      <c r="AQ115" s="200"/>
      <c r="AR115" s="200"/>
      <c r="AS115" s="200"/>
      <c r="AT115" s="200"/>
      <c r="AU115" s="200"/>
      <c r="AV115" s="200"/>
      <c r="AW115" s="200"/>
      <c r="AX115" s="200"/>
      <c r="AY115" s="200"/>
      <c r="AZ115" s="200"/>
      <c r="BA115" s="200"/>
      <c r="BB115" s="200"/>
      <c r="BC115" s="200"/>
      <c r="BD115" s="200"/>
      <c r="BE115" s="200"/>
      <c r="BF115" s="200"/>
      <c r="BG115" s="200"/>
      <c r="BH115" s="200"/>
      <c r="BI115" s="200"/>
      <c r="BJ115" s="200"/>
      <c r="BK115" s="200"/>
      <c r="BL115" s="200"/>
      <c r="BM115" s="200"/>
      <c r="BN115" s="200"/>
      <c r="BO115" s="200"/>
      <c r="BP115" s="200"/>
      <c r="BQ115" s="200"/>
      <c r="BR115" s="200"/>
      <c r="BS115" s="200"/>
      <c r="BT115" s="200"/>
      <c r="BU115" s="200"/>
      <c r="BV115" s="214"/>
    </row>
    <row r="116" spans="2:73" s="7" customFormat="1" ht="15.75" thickBot="1">
      <c r="B116" s="45" t="s">
        <v>41</v>
      </c>
      <c r="N116" s="34"/>
      <c r="O116" s="34"/>
      <c r="P116" s="12">
        <f aca="true" t="shared" si="69" ref="P116:AB116">SUM(D116:O116)</f>
        <v>0</v>
      </c>
      <c r="Q116" s="12">
        <f t="shared" si="69"/>
        <v>0</v>
      </c>
      <c r="R116" s="12">
        <f t="shared" si="69"/>
        <v>0</v>
      </c>
      <c r="S116" s="12">
        <f t="shared" si="69"/>
        <v>0</v>
      </c>
      <c r="T116" s="12">
        <f t="shared" si="69"/>
        <v>0</v>
      </c>
      <c r="U116" s="12">
        <f t="shared" si="69"/>
        <v>0</v>
      </c>
      <c r="V116" s="12">
        <f t="shared" si="69"/>
        <v>0</v>
      </c>
      <c r="W116" s="12">
        <f t="shared" si="69"/>
        <v>0</v>
      </c>
      <c r="X116" s="12">
        <f t="shared" si="69"/>
        <v>0</v>
      </c>
      <c r="Y116" s="12">
        <f t="shared" si="69"/>
        <v>0</v>
      </c>
      <c r="Z116" s="12">
        <f t="shared" si="69"/>
        <v>0</v>
      </c>
      <c r="AA116" s="205">
        <f t="shared" si="69"/>
        <v>0</v>
      </c>
      <c r="AB116" s="9">
        <f t="shared" si="69"/>
        <v>0</v>
      </c>
      <c r="AC116" s="200"/>
      <c r="AD116" s="200"/>
      <c r="AE116" s="200"/>
      <c r="AF116" s="200"/>
      <c r="AG116" s="200"/>
      <c r="AH116" s="200"/>
      <c r="AI116" s="200"/>
      <c r="AJ116" s="200"/>
      <c r="AK116" s="200"/>
      <c r="AL116" s="200"/>
      <c r="AM116" s="200"/>
      <c r="AN116" s="200"/>
      <c r="AO116" s="200"/>
      <c r="AP116" s="200"/>
      <c r="AQ116" s="200"/>
      <c r="AR116" s="200"/>
      <c r="AS116" s="200"/>
      <c r="AT116" s="200"/>
      <c r="AU116" s="200"/>
      <c r="AV116" s="200"/>
      <c r="AW116" s="200"/>
      <c r="AX116" s="200"/>
      <c r="AY116" s="200"/>
      <c r="AZ116" s="200"/>
      <c r="BA116" s="200"/>
      <c r="BB116" s="200"/>
      <c r="BC116" s="200"/>
      <c r="BD116" s="200"/>
      <c r="BE116" s="200"/>
      <c r="BF116" s="200"/>
      <c r="BG116" s="200"/>
      <c r="BH116" s="200"/>
      <c r="BI116" s="200"/>
      <c r="BJ116" s="200"/>
      <c r="BK116" s="200"/>
      <c r="BL116" s="200"/>
      <c r="BM116" s="200"/>
      <c r="BN116" s="200"/>
      <c r="BO116" s="200"/>
      <c r="BP116" s="200"/>
      <c r="BQ116" s="200"/>
      <c r="BR116" s="200"/>
      <c r="BS116" s="200"/>
      <c r="BT116" s="200"/>
      <c r="BU116" s="200"/>
    </row>
    <row r="117" spans="1:73" ht="28.5">
      <c r="A117" s="348" t="s">
        <v>71</v>
      </c>
      <c r="B117" s="358" t="s">
        <v>28</v>
      </c>
      <c r="C117" s="95" t="s">
        <v>29</v>
      </c>
      <c r="D117" s="95" t="s">
        <v>30</v>
      </c>
      <c r="E117" s="95" t="s">
        <v>31</v>
      </c>
      <c r="F117" s="95" t="s">
        <v>32</v>
      </c>
      <c r="G117" s="95" t="s">
        <v>33</v>
      </c>
      <c r="H117" s="95" t="s">
        <v>34</v>
      </c>
      <c r="I117" s="95" t="s">
        <v>35</v>
      </c>
      <c r="J117" s="95" t="s">
        <v>36</v>
      </c>
      <c r="K117" s="95" t="s">
        <v>37</v>
      </c>
      <c r="L117" s="95" t="s">
        <v>38</v>
      </c>
      <c r="M117" s="95" t="s">
        <v>39</v>
      </c>
      <c r="N117" s="95" t="s">
        <v>40</v>
      </c>
      <c r="O117" s="360" t="s">
        <v>51</v>
      </c>
      <c r="P117" s="95" t="s">
        <v>53</v>
      </c>
      <c r="Q117" s="95" t="s">
        <v>54</v>
      </c>
      <c r="R117" s="95" t="s">
        <v>55</v>
      </c>
      <c r="S117" s="95" t="s">
        <v>56</v>
      </c>
      <c r="T117" s="95" t="s">
        <v>57</v>
      </c>
      <c r="U117" s="95" t="s">
        <v>58</v>
      </c>
      <c r="V117" s="95" t="s">
        <v>59</v>
      </c>
      <c r="W117" s="95" t="s">
        <v>60</v>
      </c>
      <c r="X117" s="95" t="s">
        <v>61</v>
      </c>
      <c r="Y117" s="95" t="s">
        <v>62</v>
      </c>
      <c r="Z117" s="95" t="s">
        <v>63</v>
      </c>
      <c r="AA117" s="95" t="s">
        <v>97</v>
      </c>
      <c r="AB117" s="362" t="s">
        <v>51</v>
      </c>
      <c r="AC117" s="200"/>
      <c r="AD117" s="200"/>
      <c r="AE117" s="200"/>
      <c r="AF117" s="200"/>
      <c r="AG117" s="200"/>
      <c r="AH117" s="200"/>
      <c r="AI117" s="200"/>
      <c r="AJ117" s="200"/>
      <c r="AK117" s="200"/>
      <c r="AL117" s="200"/>
      <c r="AM117" s="200"/>
      <c r="AN117" s="200"/>
      <c r="AO117" s="200"/>
      <c r="AP117" s="200"/>
      <c r="AQ117" s="200"/>
      <c r="AR117" s="200"/>
      <c r="AS117" s="200"/>
      <c r="AT117" s="200"/>
      <c r="AU117" s="200"/>
      <c r="AV117" s="200"/>
      <c r="AW117" s="200"/>
      <c r="AX117" s="200"/>
      <c r="AY117" s="200"/>
      <c r="AZ117" s="200"/>
      <c r="BA117" s="200"/>
      <c r="BB117" s="200"/>
      <c r="BC117" s="200"/>
      <c r="BD117" s="200"/>
      <c r="BE117" s="200"/>
      <c r="BF117" s="200"/>
      <c r="BG117" s="200"/>
      <c r="BH117" s="200"/>
      <c r="BI117" s="200"/>
      <c r="BJ117" s="200"/>
      <c r="BK117" s="200"/>
      <c r="BL117" s="200"/>
      <c r="BM117" s="200"/>
      <c r="BN117" s="200"/>
      <c r="BO117" s="200"/>
      <c r="BP117" s="200"/>
      <c r="BQ117" s="200"/>
      <c r="BR117" s="200"/>
      <c r="BS117" s="200"/>
      <c r="BT117" s="200"/>
      <c r="BU117" s="200"/>
    </row>
    <row r="118" spans="1:73" ht="15">
      <c r="A118" s="349"/>
      <c r="B118" s="359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361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363"/>
      <c r="AC118" s="200"/>
      <c r="AD118" s="200"/>
      <c r="AE118" s="200"/>
      <c r="AF118" s="200"/>
      <c r="AG118" s="200"/>
      <c r="AH118" s="200"/>
      <c r="AI118" s="200"/>
      <c r="AJ118" s="200"/>
      <c r="AK118" s="200"/>
      <c r="AL118" s="200"/>
      <c r="AM118" s="200"/>
      <c r="AN118" s="200"/>
      <c r="AO118" s="200"/>
      <c r="AP118" s="200"/>
      <c r="AQ118" s="200"/>
      <c r="AR118" s="200"/>
      <c r="AS118" s="200"/>
      <c r="AT118" s="200"/>
      <c r="AU118" s="200"/>
      <c r="AV118" s="200"/>
      <c r="AW118" s="200"/>
      <c r="AX118" s="200"/>
      <c r="AY118" s="200"/>
      <c r="AZ118" s="200"/>
      <c r="BA118" s="200"/>
      <c r="BB118" s="200"/>
      <c r="BC118" s="200"/>
      <c r="BD118" s="200"/>
      <c r="BE118" s="200"/>
      <c r="BF118" s="200"/>
      <c r="BG118" s="200"/>
      <c r="BH118" s="200"/>
      <c r="BI118" s="200"/>
      <c r="BJ118" s="200"/>
      <c r="BK118" s="200"/>
      <c r="BL118" s="200"/>
      <c r="BM118" s="200"/>
      <c r="BN118" s="200"/>
      <c r="BO118" s="200"/>
      <c r="BP118" s="200"/>
      <c r="BQ118" s="200"/>
      <c r="BR118" s="200"/>
      <c r="BS118" s="200"/>
      <c r="BT118" s="200"/>
      <c r="BU118" s="200"/>
    </row>
    <row r="119" spans="1:73" ht="15">
      <c r="A119" s="13" t="s">
        <v>77</v>
      </c>
      <c r="B119" s="13"/>
      <c r="C119" s="35">
        <f>C46</f>
        <v>51457.5</v>
      </c>
      <c r="D119" s="35">
        <f aca="true" t="shared" si="70" ref="D119:AB119">D46</f>
        <v>74155.1</v>
      </c>
      <c r="E119" s="35">
        <f t="shared" si="70"/>
        <v>91714.60000000002</v>
      </c>
      <c r="F119" s="35">
        <f t="shared" si="70"/>
        <v>91473.75000000004</v>
      </c>
      <c r="G119" s="35">
        <f t="shared" si="70"/>
        <v>98142.89999999995</v>
      </c>
      <c r="H119" s="35">
        <f t="shared" si="70"/>
        <v>107225.39999999995</v>
      </c>
      <c r="I119" s="35">
        <f t="shared" si="70"/>
        <v>116307.89999999995</v>
      </c>
      <c r="J119" s="35">
        <f t="shared" si="70"/>
        <v>125390.39999999995</v>
      </c>
      <c r="K119" s="35">
        <f t="shared" si="70"/>
        <v>134472.89999999997</v>
      </c>
      <c r="L119" s="35">
        <f t="shared" si="70"/>
        <v>143555.39999999997</v>
      </c>
      <c r="M119" s="35">
        <f t="shared" si="70"/>
        <v>152637.89999999997</v>
      </c>
      <c r="N119" s="35">
        <f t="shared" si="70"/>
        <v>161720.39999999997</v>
      </c>
      <c r="O119" s="66">
        <f t="shared" si="70"/>
        <v>1348254.1499999994</v>
      </c>
      <c r="P119" s="35">
        <f t="shared" si="70"/>
        <v>170802.89999999997</v>
      </c>
      <c r="Q119" s="35">
        <f t="shared" si="70"/>
        <v>179885.39999999997</v>
      </c>
      <c r="R119" s="35">
        <f t="shared" si="70"/>
        <v>188967.89999999997</v>
      </c>
      <c r="S119" s="35">
        <f t="shared" si="70"/>
        <v>198050.39999999997</v>
      </c>
      <c r="T119" s="35">
        <f t="shared" si="70"/>
        <v>207132.89999999997</v>
      </c>
      <c r="U119" s="35">
        <f t="shared" si="70"/>
        <v>216215.39999999997</v>
      </c>
      <c r="V119" s="35">
        <f t="shared" si="70"/>
        <v>225297.89999999997</v>
      </c>
      <c r="W119" s="35">
        <f t="shared" si="70"/>
        <v>234380.39999999997</v>
      </c>
      <c r="X119" s="35">
        <f t="shared" si="70"/>
        <v>243462.89999999997</v>
      </c>
      <c r="Y119" s="35">
        <f t="shared" si="70"/>
        <v>252545.39999999997</v>
      </c>
      <c r="Z119" s="35">
        <f t="shared" si="70"/>
        <v>261627.89999999997</v>
      </c>
      <c r="AA119" s="208">
        <f t="shared" si="70"/>
        <v>270710.39999999997</v>
      </c>
      <c r="AB119" s="66">
        <f t="shared" si="70"/>
        <v>2649079.7999999993</v>
      </c>
      <c r="AC119" s="200"/>
      <c r="AD119" s="200"/>
      <c r="AE119" s="200"/>
      <c r="AF119" s="200"/>
      <c r="AG119" s="200"/>
      <c r="AH119" s="200"/>
      <c r="AI119" s="200"/>
      <c r="AJ119" s="200"/>
      <c r="AK119" s="200"/>
      <c r="AL119" s="200"/>
      <c r="AM119" s="200"/>
      <c r="AN119" s="200"/>
      <c r="AO119" s="200"/>
      <c r="AP119" s="200"/>
      <c r="AQ119" s="200"/>
      <c r="AR119" s="200"/>
      <c r="AS119" s="200"/>
      <c r="AT119" s="200"/>
      <c r="AU119" s="200"/>
      <c r="AV119" s="200"/>
      <c r="AW119" s="200"/>
      <c r="AX119" s="200"/>
      <c r="AY119" s="200"/>
      <c r="AZ119" s="200"/>
      <c r="BA119" s="200"/>
      <c r="BB119" s="200"/>
      <c r="BC119" s="200"/>
      <c r="BD119" s="200"/>
      <c r="BE119" s="200"/>
      <c r="BF119" s="200"/>
      <c r="BG119" s="200"/>
      <c r="BH119" s="200"/>
      <c r="BI119" s="200"/>
      <c r="BJ119" s="200"/>
      <c r="BK119" s="200"/>
      <c r="BL119" s="200"/>
      <c r="BM119" s="200"/>
      <c r="BN119" s="200"/>
      <c r="BO119" s="200"/>
      <c r="BP119" s="200"/>
      <c r="BQ119" s="200"/>
      <c r="BR119" s="200"/>
      <c r="BS119" s="200"/>
      <c r="BT119" s="200"/>
      <c r="BU119" s="200"/>
    </row>
    <row r="120" spans="1:73" ht="15">
      <c r="A120" s="13" t="s">
        <v>78</v>
      </c>
      <c r="B120" s="13"/>
      <c r="C120" s="35">
        <f>C80</f>
        <v>15600</v>
      </c>
      <c r="D120" s="35">
        <f aca="true" t="shared" si="71" ref="D120:AB120">D80</f>
        <v>19500</v>
      </c>
      <c r="E120" s="35">
        <f t="shared" si="71"/>
        <v>23400</v>
      </c>
      <c r="F120" s="35">
        <f t="shared" si="71"/>
        <v>27300</v>
      </c>
      <c r="G120" s="35">
        <f t="shared" si="71"/>
        <v>31200</v>
      </c>
      <c r="H120" s="35">
        <f t="shared" si="71"/>
        <v>35100</v>
      </c>
      <c r="I120" s="35">
        <f t="shared" si="71"/>
        <v>39000</v>
      </c>
      <c r="J120" s="35">
        <f t="shared" si="71"/>
        <v>42900</v>
      </c>
      <c r="K120" s="35">
        <f t="shared" si="71"/>
        <v>46800</v>
      </c>
      <c r="L120" s="35">
        <f t="shared" si="71"/>
        <v>50700</v>
      </c>
      <c r="M120" s="35">
        <f t="shared" si="71"/>
        <v>54600</v>
      </c>
      <c r="N120" s="35">
        <f t="shared" si="71"/>
        <v>58500</v>
      </c>
      <c r="O120" s="66">
        <f t="shared" si="71"/>
        <v>444600</v>
      </c>
      <c r="P120" s="35">
        <f t="shared" si="71"/>
        <v>62400</v>
      </c>
      <c r="Q120" s="35">
        <f t="shared" si="71"/>
        <v>66300</v>
      </c>
      <c r="R120" s="35">
        <f t="shared" si="71"/>
        <v>70200</v>
      </c>
      <c r="S120" s="35">
        <f t="shared" si="71"/>
        <v>74100</v>
      </c>
      <c r="T120" s="35">
        <f t="shared" si="71"/>
        <v>78000</v>
      </c>
      <c r="U120" s="35">
        <f t="shared" si="71"/>
        <v>81900</v>
      </c>
      <c r="V120" s="35">
        <f t="shared" si="71"/>
        <v>85800</v>
      </c>
      <c r="W120" s="35">
        <f t="shared" si="71"/>
        <v>89700</v>
      </c>
      <c r="X120" s="35">
        <f t="shared" si="71"/>
        <v>93600</v>
      </c>
      <c r="Y120" s="35">
        <f t="shared" si="71"/>
        <v>97500</v>
      </c>
      <c r="Z120" s="35">
        <f t="shared" si="71"/>
        <v>101400</v>
      </c>
      <c r="AA120" s="208">
        <f t="shared" si="71"/>
        <v>105300</v>
      </c>
      <c r="AB120" s="66">
        <f t="shared" si="71"/>
        <v>1895400</v>
      </c>
      <c r="AC120" s="200"/>
      <c r="AD120" s="200"/>
      <c r="AE120" s="200"/>
      <c r="AF120" s="200"/>
      <c r="AG120" s="200"/>
      <c r="AH120" s="200"/>
      <c r="AI120" s="200"/>
      <c r="AJ120" s="200"/>
      <c r="AK120" s="200"/>
      <c r="AL120" s="200"/>
      <c r="AM120" s="200"/>
      <c r="AN120" s="200"/>
      <c r="AO120" s="200"/>
      <c r="AP120" s="200"/>
      <c r="AQ120" s="200"/>
      <c r="AR120" s="200"/>
      <c r="AS120" s="200"/>
      <c r="AT120" s="200"/>
      <c r="AU120" s="200"/>
      <c r="AV120" s="200"/>
      <c r="AW120" s="200"/>
      <c r="AX120" s="200"/>
      <c r="AY120" s="200"/>
      <c r="AZ120" s="200"/>
      <c r="BA120" s="200"/>
      <c r="BB120" s="200"/>
      <c r="BC120" s="200"/>
      <c r="BD120" s="200"/>
      <c r="BE120" s="200"/>
      <c r="BF120" s="200"/>
      <c r="BG120" s="200"/>
      <c r="BH120" s="200"/>
      <c r="BI120" s="200"/>
      <c r="BJ120" s="200"/>
      <c r="BK120" s="200"/>
      <c r="BL120" s="200"/>
      <c r="BM120" s="200"/>
      <c r="BN120" s="200"/>
      <c r="BO120" s="200"/>
      <c r="BP120" s="200"/>
      <c r="BQ120" s="200"/>
      <c r="BR120" s="200"/>
      <c r="BS120" s="200"/>
      <c r="BT120" s="200"/>
      <c r="BU120" s="200"/>
    </row>
    <row r="121" spans="1:73" ht="15">
      <c r="A121" s="13" t="s">
        <v>79</v>
      </c>
      <c r="B121" s="13"/>
      <c r="C121" s="35">
        <f>C114</f>
        <v>5712</v>
      </c>
      <c r="D121" s="35">
        <f aca="true" t="shared" si="72" ref="D121:AB121">D114</f>
        <v>11424</v>
      </c>
      <c r="E121" s="35">
        <f t="shared" si="72"/>
        <v>17136</v>
      </c>
      <c r="F121" s="35">
        <f t="shared" si="72"/>
        <v>22848</v>
      </c>
      <c r="G121" s="35">
        <f t="shared" si="72"/>
        <v>28560</v>
      </c>
      <c r="H121" s="35">
        <f t="shared" si="72"/>
        <v>34272</v>
      </c>
      <c r="I121" s="35">
        <f t="shared" si="72"/>
        <v>39984</v>
      </c>
      <c r="J121" s="35">
        <f t="shared" si="72"/>
        <v>45696</v>
      </c>
      <c r="K121" s="35">
        <f t="shared" si="72"/>
        <v>51408</v>
      </c>
      <c r="L121" s="35">
        <f t="shared" si="72"/>
        <v>57120</v>
      </c>
      <c r="M121" s="35">
        <f t="shared" si="72"/>
        <v>62832</v>
      </c>
      <c r="N121" s="35">
        <f t="shared" si="72"/>
        <v>68544</v>
      </c>
      <c r="O121" s="66">
        <f t="shared" si="72"/>
        <v>445536</v>
      </c>
      <c r="P121" s="35">
        <f t="shared" si="72"/>
        <v>-76400</v>
      </c>
      <c r="Q121" s="35">
        <f t="shared" si="72"/>
        <v>-79881.66666666669</v>
      </c>
      <c r="R121" s="35">
        <f t="shared" si="72"/>
        <v>-83148.47222222225</v>
      </c>
      <c r="S121" s="35">
        <f t="shared" si="72"/>
        <v>-86182.5115740741</v>
      </c>
      <c r="T121" s="35">
        <f t="shared" si="72"/>
        <v>-88964.38753858022</v>
      </c>
      <c r="U121" s="35">
        <f t="shared" si="72"/>
        <v>-91473.08650012856</v>
      </c>
      <c r="V121" s="35">
        <f t="shared" si="72"/>
        <v>-93685.84370847262</v>
      </c>
      <c r="W121" s="35">
        <f t="shared" si="72"/>
        <v>-95577.99735084537</v>
      </c>
      <c r="X121" s="35">
        <f t="shared" si="72"/>
        <v>-97122.83046341583</v>
      </c>
      <c r="Y121" s="35">
        <f t="shared" si="72"/>
        <v>-98291.39966870041</v>
      </c>
      <c r="Z121" s="35">
        <f t="shared" si="72"/>
        <v>-99052.34964109212</v>
      </c>
      <c r="AA121" s="208">
        <f t="shared" si="72"/>
        <v>-99371.7121111831</v>
      </c>
      <c r="AB121" s="66">
        <f t="shared" si="72"/>
        <v>-1089152.2574453813</v>
      </c>
      <c r="AC121" s="200"/>
      <c r="AD121" s="200"/>
      <c r="AE121" s="200"/>
      <c r="AF121" s="200"/>
      <c r="AG121" s="200"/>
      <c r="AH121" s="200"/>
      <c r="AI121" s="200"/>
      <c r="AJ121" s="200"/>
      <c r="AK121" s="200"/>
      <c r="AL121" s="200"/>
      <c r="AM121" s="200"/>
      <c r="AN121" s="200"/>
      <c r="AO121" s="200"/>
      <c r="AP121" s="200"/>
      <c r="AQ121" s="200"/>
      <c r="AR121" s="200"/>
      <c r="AS121" s="200"/>
      <c r="AT121" s="200"/>
      <c r="AU121" s="200"/>
      <c r="AV121" s="200"/>
      <c r="AW121" s="200"/>
      <c r="AX121" s="200"/>
      <c r="AY121" s="200"/>
      <c r="AZ121" s="200"/>
      <c r="BA121" s="200"/>
      <c r="BB121" s="200"/>
      <c r="BC121" s="200"/>
      <c r="BD121" s="200"/>
      <c r="BE121" s="200"/>
      <c r="BF121" s="200"/>
      <c r="BG121" s="200"/>
      <c r="BH121" s="200"/>
      <c r="BI121" s="200"/>
      <c r="BJ121" s="200"/>
      <c r="BK121" s="200"/>
      <c r="BL121" s="200"/>
      <c r="BM121" s="200"/>
      <c r="BN121" s="200"/>
      <c r="BO121" s="200"/>
      <c r="BP121" s="200"/>
      <c r="BQ121" s="200"/>
      <c r="BR121" s="200"/>
      <c r="BS121" s="200"/>
      <c r="BT121" s="200"/>
      <c r="BU121" s="200"/>
    </row>
    <row r="122" spans="1:73" s="56" customFormat="1" ht="15">
      <c r="A122" s="55" t="s">
        <v>6</v>
      </c>
      <c r="B122" s="55"/>
      <c r="C122" s="54">
        <f>C119+C120+C121</f>
        <v>72769.5</v>
      </c>
      <c r="D122" s="54">
        <f aca="true" t="shared" si="73" ref="D122:AB122">D119+D120+D121</f>
        <v>105079.1</v>
      </c>
      <c r="E122" s="54">
        <f t="shared" si="73"/>
        <v>132250.60000000003</v>
      </c>
      <c r="F122" s="54">
        <f t="shared" si="73"/>
        <v>141621.75000000006</v>
      </c>
      <c r="G122" s="54">
        <f t="shared" si="73"/>
        <v>157902.89999999997</v>
      </c>
      <c r="H122" s="54">
        <f t="shared" si="73"/>
        <v>176597.39999999997</v>
      </c>
      <c r="I122" s="54">
        <f t="shared" si="73"/>
        <v>195291.89999999997</v>
      </c>
      <c r="J122" s="54">
        <f t="shared" si="73"/>
        <v>213986.39999999997</v>
      </c>
      <c r="K122" s="54">
        <f t="shared" si="73"/>
        <v>232680.89999999997</v>
      </c>
      <c r="L122" s="54">
        <f t="shared" si="73"/>
        <v>251375.39999999997</v>
      </c>
      <c r="M122" s="54">
        <f t="shared" si="73"/>
        <v>270069.89999999997</v>
      </c>
      <c r="N122" s="54">
        <f t="shared" si="73"/>
        <v>288764.39999999997</v>
      </c>
      <c r="O122" s="54">
        <f t="shared" si="73"/>
        <v>2238390.1499999994</v>
      </c>
      <c r="P122" s="54">
        <f t="shared" si="73"/>
        <v>156802.89999999997</v>
      </c>
      <c r="Q122" s="54">
        <f t="shared" si="73"/>
        <v>166303.73333333328</v>
      </c>
      <c r="R122" s="54">
        <f t="shared" si="73"/>
        <v>176019.42777777772</v>
      </c>
      <c r="S122" s="54">
        <f t="shared" si="73"/>
        <v>185967.88842592586</v>
      </c>
      <c r="T122" s="54">
        <f t="shared" si="73"/>
        <v>196168.51246141974</v>
      </c>
      <c r="U122" s="54">
        <f t="shared" si="73"/>
        <v>206642.3134998714</v>
      </c>
      <c r="V122" s="54">
        <f t="shared" si="73"/>
        <v>217412.05629152735</v>
      </c>
      <c r="W122" s="54">
        <f t="shared" si="73"/>
        <v>228502.4026491546</v>
      </c>
      <c r="X122" s="54">
        <f t="shared" si="73"/>
        <v>239940.06953658414</v>
      </c>
      <c r="Y122" s="54">
        <f t="shared" si="73"/>
        <v>251754.00033129955</v>
      </c>
      <c r="Z122" s="54">
        <f t="shared" si="73"/>
        <v>263975.55035890784</v>
      </c>
      <c r="AA122" s="204">
        <f t="shared" si="73"/>
        <v>276638.6878888169</v>
      </c>
      <c r="AB122" s="54">
        <f t="shared" si="73"/>
        <v>3455327.542554618</v>
      </c>
      <c r="AC122" s="216"/>
      <c r="AD122" s="216"/>
      <c r="AE122" s="216"/>
      <c r="AF122" s="216"/>
      <c r="AG122" s="216"/>
      <c r="AH122" s="216"/>
      <c r="AI122" s="216"/>
      <c r="AJ122" s="216"/>
      <c r="AK122" s="216"/>
      <c r="AL122" s="216"/>
      <c r="AM122" s="216"/>
      <c r="AN122" s="216"/>
      <c r="AO122" s="216"/>
      <c r="AP122" s="216"/>
      <c r="AQ122" s="216"/>
      <c r="AR122" s="216"/>
      <c r="AS122" s="216"/>
      <c r="AT122" s="216"/>
      <c r="AU122" s="216"/>
      <c r="AV122" s="216"/>
      <c r="AW122" s="216"/>
      <c r="AX122" s="216"/>
      <c r="AY122" s="216"/>
      <c r="AZ122" s="216"/>
      <c r="BA122" s="216"/>
      <c r="BB122" s="216"/>
      <c r="BC122" s="216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</row>
    <row r="123" spans="14:73" ht="15.75" thickBot="1">
      <c r="N123" s="12"/>
      <c r="O123" s="12"/>
      <c r="AB123" s="13"/>
      <c r="AC123" s="200"/>
      <c r="AD123" s="200"/>
      <c r="AE123" s="200"/>
      <c r="AF123" s="200"/>
      <c r="AG123" s="200"/>
      <c r="AH123" s="200"/>
      <c r="AI123" s="200"/>
      <c r="AJ123" s="200"/>
      <c r="AK123" s="200"/>
      <c r="AL123" s="200"/>
      <c r="AM123" s="200"/>
      <c r="AN123" s="200"/>
      <c r="AO123" s="200"/>
      <c r="AP123" s="200"/>
      <c r="AQ123" s="200"/>
      <c r="AR123" s="200"/>
      <c r="AS123" s="200"/>
      <c r="AT123" s="200"/>
      <c r="AU123" s="200"/>
      <c r="AV123" s="200"/>
      <c r="AW123" s="200"/>
      <c r="AX123" s="200"/>
      <c r="AY123" s="200"/>
      <c r="AZ123" s="200"/>
      <c r="BA123" s="200"/>
      <c r="BB123" s="200"/>
      <c r="BC123" s="200"/>
      <c r="BD123" s="200"/>
      <c r="BE123" s="200"/>
      <c r="BF123" s="200"/>
      <c r="BG123" s="200"/>
      <c r="BH123" s="200"/>
      <c r="BI123" s="200"/>
      <c r="BJ123" s="200"/>
      <c r="BK123" s="200"/>
      <c r="BL123" s="200"/>
      <c r="BM123" s="200"/>
      <c r="BN123" s="200"/>
      <c r="BO123" s="200"/>
      <c r="BP123" s="200"/>
      <c r="BQ123" s="200"/>
      <c r="BR123" s="200"/>
      <c r="BS123" s="200"/>
      <c r="BT123" s="200"/>
      <c r="BU123" s="200"/>
    </row>
    <row r="124" spans="1:73" ht="28.5">
      <c r="A124" s="98" t="s">
        <v>43</v>
      </c>
      <c r="B124" s="366" t="s">
        <v>28</v>
      </c>
      <c r="C124" s="95" t="s">
        <v>29</v>
      </c>
      <c r="D124" s="95" t="s">
        <v>30</v>
      </c>
      <c r="E124" s="95" t="s">
        <v>31</v>
      </c>
      <c r="F124" s="95" t="s">
        <v>32</v>
      </c>
      <c r="G124" s="95" t="s">
        <v>33</v>
      </c>
      <c r="H124" s="95" t="s">
        <v>34</v>
      </c>
      <c r="I124" s="95" t="s">
        <v>35</v>
      </c>
      <c r="J124" s="95" t="s">
        <v>36</v>
      </c>
      <c r="K124" s="95" t="s">
        <v>37</v>
      </c>
      <c r="L124" s="95" t="s">
        <v>38</v>
      </c>
      <c r="M124" s="95" t="s">
        <v>39</v>
      </c>
      <c r="N124" s="95" t="s">
        <v>40</v>
      </c>
      <c r="O124" s="360" t="s">
        <v>51</v>
      </c>
      <c r="P124" s="95" t="s">
        <v>53</v>
      </c>
      <c r="Q124" s="95" t="s">
        <v>54</v>
      </c>
      <c r="R124" s="95" t="s">
        <v>55</v>
      </c>
      <c r="S124" s="95" t="s">
        <v>56</v>
      </c>
      <c r="T124" s="95" t="s">
        <v>57</v>
      </c>
      <c r="U124" s="95" t="s">
        <v>58</v>
      </c>
      <c r="V124" s="95" t="s">
        <v>59</v>
      </c>
      <c r="W124" s="95" t="s">
        <v>60</v>
      </c>
      <c r="X124" s="95" t="s">
        <v>61</v>
      </c>
      <c r="Y124" s="95" t="s">
        <v>62</v>
      </c>
      <c r="Z124" s="95" t="s">
        <v>63</v>
      </c>
      <c r="AA124" s="95" t="s">
        <v>97</v>
      </c>
      <c r="AB124" s="370" t="s">
        <v>51</v>
      </c>
      <c r="AC124" s="200"/>
      <c r="AD124" s="200"/>
      <c r="AE124" s="200"/>
      <c r="AF124" s="200"/>
      <c r="AG124" s="200"/>
      <c r="AH124" s="200"/>
      <c r="AI124" s="200"/>
      <c r="AJ124" s="200"/>
      <c r="AK124" s="200"/>
      <c r="AL124" s="200"/>
      <c r="AM124" s="200"/>
      <c r="AN124" s="200"/>
      <c r="AO124" s="200"/>
      <c r="AP124" s="200"/>
      <c r="AQ124" s="200"/>
      <c r="AR124" s="200"/>
      <c r="AS124" s="200"/>
      <c r="AT124" s="200"/>
      <c r="AU124" s="200"/>
      <c r="AV124" s="200"/>
      <c r="AW124" s="200"/>
      <c r="AX124" s="200"/>
      <c r="AY124" s="200"/>
      <c r="AZ124" s="200"/>
      <c r="BA124" s="200"/>
      <c r="BB124" s="200"/>
      <c r="BC124" s="200"/>
      <c r="BD124" s="200"/>
      <c r="BE124" s="200"/>
      <c r="BF124" s="200"/>
      <c r="BG124" s="200"/>
      <c r="BH124" s="200"/>
      <c r="BI124" s="200"/>
      <c r="BJ124" s="200"/>
      <c r="BK124" s="200"/>
      <c r="BL124" s="200"/>
      <c r="BM124" s="200"/>
      <c r="BN124" s="200"/>
      <c r="BO124" s="200"/>
      <c r="BP124" s="200"/>
      <c r="BQ124" s="200"/>
      <c r="BR124" s="200"/>
      <c r="BS124" s="200"/>
      <c r="BT124" s="200"/>
      <c r="BU124" s="200"/>
    </row>
    <row r="125" spans="1:73" ht="15.75" thickBot="1">
      <c r="A125" s="99"/>
      <c r="B125" s="36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361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369"/>
      <c r="AC125" s="200"/>
      <c r="AD125" s="200"/>
      <c r="AE125" s="200"/>
      <c r="AF125" s="200"/>
      <c r="AG125" s="200"/>
      <c r="AH125" s="200"/>
      <c r="AI125" s="200"/>
      <c r="AJ125" s="200"/>
      <c r="AK125" s="200"/>
      <c r="AL125" s="200"/>
      <c r="AM125" s="200"/>
      <c r="AN125" s="200"/>
      <c r="AO125" s="200"/>
      <c r="AP125" s="200"/>
      <c r="AQ125" s="200"/>
      <c r="AR125" s="200"/>
      <c r="AS125" s="200"/>
      <c r="AT125" s="200"/>
      <c r="AU125" s="200"/>
      <c r="AV125" s="200"/>
      <c r="AW125" s="200"/>
      <c r="AX125" s="200"/>
      <c r="AY125" s="200"/>
      <c r="AZ125" s="200"/>
      <c r="BA125" s="200"/>
      <c r="BB125" s="200"/>
      <c r="BC125" s="200"/>
      <c r="BD125" s="200"/>
      <c r="BE125" s="200"/>
      <c r="BF125" s="200"/>
      <c r="BG125" s="200"/>
      <c r="BH125" s="200"/>
      <c r="BI125" s="200"/>
      <c r="BJ125" s="200"/>
      <c r="BK125" s="200"/>
      <c r="BL125" s="200"/>
      <c r="BM125" s="200"/>
      <c r="BN125" s="200"/>
      <c r="BO125" s="200"/>
      <c r="BP125" s="200"/>
      <c r="BQ125" s="200"/>
      <c r="BR125" s="200"/>
      <c r="BS125" s="200"/>
      <c r="BT125" s="200"/>
      <c r="BU125" s="200"/>
    </row>
    <row r="126" spans="1:73" ht="15">
      <c r="A126" s="72" t="s">
        <v>83</v>
      </c>
      <c r="B126" s="37" t="s">
        <v>65</v>
      </c>
      <c r="C126" s="51">
        <f>C145*пар!B57</f>
        <v>115000</v>
      </c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200"/>
      <c r="AD126" s="200"/>
      <c r="AE126" s="200"/>
      <c r="AF126" s="200"/>
      <c r="AG126" s="200"/>
      <c r="AH126" s="200"/>
      <c r="AI126" s="200"/>
      <c r="AJ126" s="200"/>
      <c r="AK126" s="200"/>
      <c r="AL126" s="200"/>
      <c r="AM126" s="200"/>
      <c r="AN126" s="200"/>
      <c r="AO126" s="200"/>
      <c r="AP126" s="200"/>
      <c r="AQ126" s="200"/>
      <c r="AR126" s="200"/>
      <c r="AS126" s="200"/>
      <c r="AT126" s="200"/>
      <c r="AU126" s="200"/>
      <c r="AV126" s="200"/>
      <c r="AW126" s="200"/>
      <c r="AX126" s="200"/>
      <c r="AY126" s="200"/>
      <c r="AZ126" s="200"/>
      <c r="BA126" s="200"/>
      <c r="BB126" s="200"/>
      <c r="BC126" s="200"/>
      <c r="BD126" s="200"/>
      <c r="BE126" s="200"/>
      <c r="BF126" s="200"/>
      <c r="BG126" s="200"/>
      <c r="BH126" s="200"/>
      <c r="BI126" s="200"/>
      <c r="BJ126" s="200"/>
      <c r="BK126" s="200"/>
      <c r="BL126" s="200"/>
      <c r="BM126" s="200"/>
      <c r="BN126" s="200"/>
      <c r="BO126" s="200"/>
      <c r="BP126" s="200"/>
      <c r="BQ126" s="200"/>
      <c r="BR126" s="200"/>
      <c r="BS126" s="200"/>
      <c r="BT126" s="200"/>
      <c r="BU126" s="200"/>
    </row>
    <row r="127" spans="1:73" ht="15">
      <c r="A127" s="69" t="s">
        <v>44</v>
      </c>
      <c r="B127" s="37" t="s">
        <v>65</v>
      </c>
      <c r="C127" s="51">
        <f>пар!B58</f>
        <v>39000</v>
      </c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200"/>
      <c r="AD127" s="200"/>
      <c r="AE127" s="200"/>
      <c r="AF127" s="200"/>
      <c r="AG127" s="200"/>
      <c r="AH127" s="200"/>
      <c r="AI127" s="200"/>
      <c r="AJ127" s="200"/>
      <c r="AK127" s="200"/>
      <c r="AL127" s="200"/>
      <c r="AM127" s="200"/>
      <c r="AN127" s="200"/>
      <c r="AO127" s="200"/>
      <c r="AP127" s="200"/>
      <c r="AQ127" s="200"/>
      <c r="AR127" s="200"/>
      <c r="AS127" s="200"/>
      <c r="AT127" s="200"/>
      <c r="AU127" s="200"/>
      <c r="AV127" s="200"/>
      <c r="AW127" s="200"/>
      <c r="AX127" s="200"/>
      <c r="AY127" s="200"/>
      <c r="AZ127" s="200"/>
      <c r="BA127" s="200"/>
      <c r="BB127" s="200"/>
      <c r="BC127" s="200"/>
      <c r="BD127" s="200"/>
      <c r="BE127" s="200"/>
      <c r="BF127" s="200"/>
      <c r="BG127" s="200"/>
      <c r="BH127" s="200"/>
      <c r="BI127" s="200"/>
      <c r="BJ127" s="200"/>
      <c r="BK127" s="200"/>
      <c r="BL127" s="200"/>
      <c r="BM127" s="200"/>
      <c r="BN127" s="200"/>
      <c r="BO127" s="200"/>
      <c r="BP127" s="200"/>
      <c r="BQ127" s="200"/>
      <c r="BR127" s="200"/>
      <c r="BS127" s="200"/>
      <c r="BT127" s="200"/>
      <c r="BU127" s="200"/>
    </row>
    <row r="128" spans="1:73" ht="15">
      <c r="A128" s="70" t="s">
        <v>7</v>
      </c>
      <c r="B128" s="37" t="s">
        <v>65</v>
      </c>
      <c r="C128" s="51">
        <f>пар!B59</f>
        <v>220000</v>
      </c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200"/>
      <c r="AD128" s="200"/>
      <c r="AE128" s="200"/>
      <c r="AF128" s="200"/>
      <c r="AG128" s="200"/>
      <c r="AH128" s="200"/>
      <c r="AI128" s="200"/>
      <c r="AJ128" s="200"/>
      <c r="AK128" s="200"/>
      <c r="AL128" s="200"/>
      <c r="AM128" s="200"/>
      <c r="AN128" s="200"/>
      <c r="AO128" s="200"/>
      <c r="AP128" s="200"/>
      <c r="AQ128" s="200"/>
      <c r="AR128" s="200"/>
      <c r="AS128" s="200"/>
      <c r="AT128" s="200"/>
      <c r="AU128" s="200"/>
      <c r="AV128" s="200"/>
      <c r="AW128" s="200"/>
      <c r="AX128" s="200"/>
      <c r="AY128" s="200"/>
      <c r="AZ128" s="200"/>
      <c r="BA128" s="200"/>
      <c r="BB128" s="200"/>
      <c r="BC128" s="200"/>
      <c r="BD128" s="200"/>
      <c r="BE128" s="200"/>
      <c r="BF128" s="200"/>
      <c r="BG128" s="200"/>
      <c r="BH128" s="200"/>
      <c r="BI128" s="200"/>
      <c r="BJ128" s="200"/>
      <c r="BK128" s="200"/>
      <c r="BL128" s="200"/>
      <c r="BM128" s="200"/>
      <c r="BN128" s="200"/>
      <c r="BO128" s="200"/>
      <c r="BP128" s="200"/>
      <c r="BQ128" s="200"/>
      <c r="BR128" s="200"/>
      <c r="BS128" s="200"/>
      <c r="BT128" s="200"/>
      <c r="BU128" s="200"/>
    </row>
    <row r="129" spans="1:73" ht="15">
      <c r="A129" s="69" t="s">
        <v>45</v>
      </c>
      <c r="B129" s="37" t="s">
        <v>65</v>
      </c>
      <c r="C129" s="51">
        <f>пар!B28</f>
        <v>0</v>
      </c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200"/>
      <c r="AD129" s="200"/>
      <c r="AE129" s="200"/>
      <c r="AF129" s="200"/>
      <c r="AG129" s="200"/>
      <c r="AH129" s="200"/>
      <c r="AI129" s="200"/>
      <c r="AJ129" s="200"/>
      <c r="AK129" s="200"/>
      <c r="AL129" s="200"/>
      <c r="AM129" s="200"/>
      <c r="AN129" s="200"/>
      <c r="AO129" s="200"/>
      <c r="AP129" s="200"/>
      <c r="AQ129" s="200"/>
      <c r="AR129" s="200"/>
      <c r="AS129" s="200"/>
      <c r="AT129" s="200"/>
      <c r="AU129" s="200"/>
      <c r="AV129" s="200"/>
      <c r="AW129" s="200"/>
      <c r="AX129" s="200"/>
      <c r="AY129" s="200"/>
      <c r="AZ129" s="200"/>
      <c r="BA129" s="200"/>
      <c r="BB129" s="200"/>
      <c r="BC129" s="200"/>
      <c r="BD129" s="200"/>
      <c r="BE129" s="200"/>
      <c r="BF129" s="200"/>
      <c r="BG129" s="200"/>
      <c r="BH129" s="200"/>
      <c r="BI129" s="200"/>
      <c r="BJ129" s="200"/>
      <c r="BK129" s="200"/>
      <c r="BL129" s="200"/>
      <c r="BM129" s="200"/>
      <c r="BN129" s="200"/>
      <c r="BO129" s="200"/>
      <c r="BP129" s="200"/>
      <c r="BQ129" s="200"/>
      <c r="BR129" s="200"/>
      <c r="BS129" s="200"/>
      <c r="BT129" s="200"/>
      <c r="BU129" s="200"/>
    </row>
    <row r="130" spans="1:73" ht="15">
      <c r="A130" s="70" t="s">
        <v>8</v>
      </c>
      <c r="B130" s="37" t="s">
        <v>65</v>
      </c>
      <c r="C130" s="51">
        <f>пар!B60</f>
        <v>20000</v>
      </c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200"/>
      <c r="AD130" s="200"/>
      <c r="AE130" s="200"/>
      <c r="AF130" s="200"/>
      <c r="AG130" s="200"/>
      <c r="AH130" s="200"/>
      <c r="AI130" s="200"/>
      <c r="AJ130" s="200"/>
      <c r="AK130" s="200"/>
      <c r="AL130" s="200"/>
      <c r="AM130" s="200"/>
      <c r="AN130" s="200"/>
      <c r="AO130" s="200"/>
      <c r="AP130" s="200"/>
      <c r="AQ130" s="200"/>
      <c r="AR130" s="200"/>
      <c r="AS130" s="200"/>
      <c r="AT130" s="200"/>
      <c r="AU130" s="200"/>
      <c r="AV130" s="200"/>
      <c r="AW130" s="200"/>
      <c r="AX130" s="200"/>
      <c r="AY130" s="200"/>
      <c r="AZ130" s="200"/>
      <c r="BA130" s="200"/>
      <c r="BB130" s="200"/>
      <c r="BC130" s="200"/>
      <c r="BD130" s="200"/>
      <c r="BE130" s="200"/>
      <c r="BF130" s="200"/>
      <c r="BG130" s="200"/>
      <c r="BH130" s="200"/>
      <c r="BI130" s="200"/>
      <c r="BJ130" s="200"/>
      <c r="BK130" s="200"/>
      <c r="BL130" s="200"/>
      <c r="BM130" s="200"/>
      <c r="BN130" s="200"/>
      <c r="BO130" s="200"/>
      <c r="BP130" s="200"/>
      <c r="BQ130" s="200"/>
      <c r="BR130" s="200"/>
      <c r="BS130" s="200"/>
      <c r="BT130" s="200"/>
      <c r="BU130" s="200"/>
    </row>
    <row r="131" spans="1:73" ht="15">
      <c r="A131" s="70" t="s">
        <v>82</v>
      </c>
      <c r="B131" s="37" t="s">
        <v>65</v>
      </c>
      <c r="C131" s="51">
        <f>пар!B86*9+500*9</f>
        <v>18000</v>
      </c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200"/>
      <c r="AD131" s="200"/>
      <c r="AE131" s="200"/>
      <c r="AF131" s="200"/>
      <c r="AG131" s="200"/>
      <c r="AH131" s="200"/>
      <c r="AI131" s="200"/>
      <c r="AJ131" s="200"/>
      <c r="AK131" s="200"/>
      <c r="AL131" s="200"/>
      <c r="AM131" s="200"/>
      <c r="AN131" s="200"/>
      <c r="AO131" s="200"/>
      <c r="AP131" s="200"/>
      <c r="AQ131" s="200"/>
      <c r="AR131" s="200"/>
      <c r="AS131" s="200"/>
      <c r="AT131" s="200"/>
      <c r="AU131" s="200"/>
      <c r="AV131" s="200"/>
      <c r="AW131" s="200"/>
      <c r="AX131" s="200"/>
      <c r="AY131" s="200"/>
      <c r="AZ131" s="200"/>
      <c r="BA131" s="200"/>
      <c r="BB131" s="200"/>
      <c r="BC131" s="200"/>
      <c r="BD131" s="200"/>
      <c r="BE131" s="200"/>
      <c r="BF131" s="200"/>
      <c r="BG131" s="200"/>
      <c r="BH131" s="200"/>
      <c r="BI131" s="200"/>
      <c r="BJ131" s="200"/>
      <c r="BK131" s="200"/>
      <c r="BL131" s="200"/>
      <c r="BM131" s="200"/>
      <c r="BN131" s="200"/>
      <c r="BO131" s="200"/>
      <c r="BP131" s="200"/>
      <c r="BQ131" s="200"/>
      <c r="BR131" s="200"/>
      <c r="BS131" s="200"/>
      <c r="BT131" s="200"/>
      <c r="BU131" s="200"/>
    </row>
    <row r="132" spans="1:73" ht="15">
      <c r="A132" s="71" t="s">
        <v>84</v>
      </c>
      <c r="B132" s="37" t="s">
        <v>65</v>
      </c>
      <c r="C132" s="27">
        <f>C145*пар!B62</f>
        <v>600000</v>
      </c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200"/>
      <c r="AD132" s="200"/>
      <c r="AE132" s="200"/>
      <c r="AF132" s="200"/>
      <c r="AG132" s="200"/>
      <c r="AH132" s="200"/>
      <c r="AI132" s="200"/>
      <c r="AJ132" s="200"/>
      <c r="AK132" s="200"/>
      <c r="AL132" s="200"/>
      <c r="AM132" s="200"/>
      <c r="AN132" s="200"/>
      <c r="AO132" s="200"/>
      <c r="AP132" s="200"/>
      <c r="AQ132" s="200"/>
      <c r="AR132" s="200"/>
      <c r="AS132" s="200"/>
      <c r="AT132" s="200"/>
      <c r="AU132" s="200"/>
      <c r="AV132" s="200"/>
      <c r="AW132" s="200"/>
      <c r="AX132" s="200"/>
      <c r="AY132" s="200"/>
      <c r="AZ132" s="200"/>
      <c r="BA132" s="200"/>
      <c r="BB132" s="200"/>
      <c r="BC132" s="200"/>
      <c r="BD132" s="200"/>
      <c r="BE132" s="200"/>
      <c r="BF132" s="200"/>
      <c r="BG132" s="200"/>
      <c r="BH132" s="200"/>
      <c r="BI132" s="200"/>
      <c r="BJ132" s="200"/>
      <c r="BK132" s="200"/>
      <c r="BL132" s="200"/>
      <c r="BM132" s="200"/>
      <c r="BN132" s="200"/>
      <c r="BO132" s="200"/>
      <c r="BP132" s="200"/>
      <c r="BQ132" s="200"/>
      <c r="BR132" s="200"/>
      <c r="BS132" s="200"/>
      <c r="BT132" s="200"/>
      <c r="BU132" s="200"/>
    </row>
    <row r="133" spans="1:73" s="93" customFormat="1" ht="15.75" thickBot="1">
      <c r="A133" s="89" t="s">
        <v>46</v>
      </c>
      <c r="B133" s="90"/>
      <c r="C133" s="91">
        <f>SUM(C126:C132)</f>
        <v>1012000</v>
      </c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2"/>
      <c r="O133" s="92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207"/>
      <c r="AB133" s="90"/>
      <c r="AC133" s="199"/>
      <c r="AD133" s="199"/>
      <c r="AE133" s="199"/>
      <c r="AF133" s="199"/>
      <c r="AG133" s="199"/>
      <c r="AH133" s="199"/>
      <c r="AI133" s="199"/>
      <c r="AJ133" s="199"/>
      <c r="AK133" s="199"/>
      <c r="AL133" s="199"/>
      <c r="AM133" s="199"/>
      <c r="AN133" s="199"/>
      <c r="AO133" s="199"/>
      <c r="AP133" s="199"/>
      <c r="AQ133" s="199"/>
      <c r="AR133" s="199"/>
      <c r="AS133" s="199"/>
      <c r="AT133" s="199"/>
      <c r="AU133" s="199"/>
      <c r="AV133" s="199"/>
      <c r="AW133" s="199"/>
      <c r="AX133" s="199"/>
      <c r="AY133" s="199"/>
      <c r="AZ133" s="199"/>
      <c r="BA133" s="199"/>
      <c r="BB133" s="199"/>
      <c r="BC133" s="199"/>
      <c r="BD133" s="199"/>
      <c r="BE133" s="199"/>
      <c r="BF133" s="199"/>
      <c r="BG133" s="199"/>
      <c r="BH133" s="199"/>
      <c r="BI133" s="199"/>
      <c r="BJ133" s="199"/>
      <c r="BK133" s="199"/>
      <c r="BL133" s="199"/>
      <c r="BM133" s="199"/>
      <c r="BN133" s="199"/>
      <c r="BO133" s="199"/>
      <c r="BP133" s="199"/>
      <c r="BQ133" s="199"/>
      <c r="BR133" s="199"/>
      <c r="BS133" s="199"/>
      <c r="BT133" s="199"/>
      <c r="BU133" s="199"/>
    </row>
    <row r="134" spans="1:73" ht="28.5">
      <c r="A134" s="94" t="s">
        <v>81</v>
      </c>
      <c r="B134" s="366" t="s">
        <v>28</v>
      </c>
      <c r="C134" s="95" t="s">
        <v>29</v>
      </c>
      <c r="D134" s="95" t="s">
        <v>30</v>
      </c>
      <c r="E134" s="95" t="s">
        <v>31</v>
      </c>
      <c r="F134" s="95" t="s">
        <v>32</v>
      </c>
      <c r="G134" s="95" t="s">
        <v>33</v>
      </c>
      <c r="H134" s="95" t="s">
        <v>34</v>
      </c>
      <c r="I134" s="95" t="s">
        <v>35</v>
      </c>
      <c r="J134" s="95" t="s">
        <v>36</v>
      </c>
      <c r="K134" s="95" t="s">
        <v>37</v>
      </c>
      <c r="L134" s="95" t="s">
        <v>38</v>
      </c>
      <c r="M134" s="95" t="s">
        <v>39</v>
      </c>
      <c r="N134" s="95" t="s">
        <v>40</v>
      </c>
      <c r="O134" s="360" t="s">
        <v>94</v>
      </c>
      <c r="P134" s="95" t="s">
        <v>53</v>
      </c>
      <c r="Q134" s="95" t="s">
        <v>54</v>
      </c>
      <c r="R134" s="95" t="s">
        <v>55</v>
      </c>
      <c r="S134" s="95" t="s">
        <v>56</v>
      </c>
      <c r="T134" s="95" t="s">
        <v>57</v>
      </c>
      <c r="U134" s="95" t="s">
        <v>58</v>
      </c>
      <c r="V134" s="95" t="s">
        <v>59</v>
      </c>
      <c r="W134" s="95" t="s">
        <v>60</v>
      </c>
      <c r="X134" s="95" t="s">
        <v>61</v>
      </c>
      <c r="Y134" s="95" t="s">
        <v>62</v>
      </c>
      <c r="Z134" s="95" t="s">
        <v>63</v>
      </c>
      <c r="AA134" s="221" t="s">
        <v>97</v>
      </c>
      <c r="AB134" s="368" t="s">
        <v>95</v>
      </c>
      <c r="AC134" s="200"/>
      <c r="AD134" s="200"/>
      <c r="AE134" s="200"/>
      <c r="AF134" s="200"/>
      <c r="AG134" s="200"/>
      <c r="AH134" s="200"/>
      <c r="AI134" s="200"/>
      <c r="AJ134" s="200"/>
      <c r="AK134" s="200"/>
      <c r="AL134" s="200"/>
      <c r="AM134" s="200"/>
      <c r="AN134" s="200"/>
      <c r="AO134" s="200"/>
      <c r="AP134" s="200"/>
      <c r="AQ134" s="200"/>
      <c r="AR134" s="200"/>
      <c r="AS134" s="200"/>
      <c r="AT134" s="200"/>
      <c r="AU134" s="200"/>
      <c r="AV134" s="200"/>
      <c r="AW134" s="200"/>
      <c r="AX134" s="200"/>
      <c r="AY134" s="200"/>
      <c r="AZ134" s="200"/>
      <c r="BA134" s="200"/>
      <c r="BB134" s="200"/>
      <c r="BC134" s="200"/>
      <c r="BD134" s="200"/>
      <c r="BE134" s="200"/>
      <c r="BF134" s="200"/>
      <c r="BG134" s="200"/>
      <c r="BH134" s="200"/>
      <c r="BI134" s="200"/>
      <c r="BJ134" s="200"/>
      <c r="BK134" s="200"/>
      <c r="BL134" s="200"/>
      <c r="BM134" s="200"/>
      <c r="BN134" s="200"/>
      <c r="BO134" s="200"/>
      <c r="BP134" s="200"/>
      <c r="BQ134" s="200"/>
      <c r="BR134" s="200"/>
      <c r="BS134" s="200"/>
      <c r="BT134" s="200"/>
      <c r="BU134" s="200"/>
    </row>
    <row r="135" spans="1:73" ht="15">
      <c r="A135" s="96"/>
      <c r="B135" s="36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361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222"/>
      <c r="AB135" s="369"/>
      <c r="AC135" s="200"/>
      <c r="AD135" s="200"/>
      <c r="AE135" s="200"/>
      <c r="AF135" s="200"/>
      <c r="AG135" s="200"/>
      <c r="AH135" s="200"/>
      <c r="AI135" s="200"/>
      <c r="AJ135" s="200"/>
      <c r="AK135" s="200"/>
      <c r="AL135" s="200"/>
      <c r="AM135" s="200"/>
      <c r="AN135" s="200"/>
      <c r="AO135" s="200"/>
      <c r="AP135" s="200"/>
      <c r="AQ135" s="200"/>
      <c r="AR135" s="200"/>
      <c r="AS135" s="200"/>
      <c r="AT135" s="200"/>
      <c r="AU135" s="200"/>
      <c r="AV135" s="200"/>
      <c r="AW135" s="200"/>
      <c r="AX135" s="200"/>
      <c r="AY135" s="200"/>
      <c r="AZ135" s="200"/>
      <c r="BA135" s="200"/>
      <c r="BB135" s="200"/>
      <c r="BC135" s="200"/>
      <c r="BD135" s="200"/>
      <c r="BE135" s="200"/>
      <c r="BF135" s="200"/>
      <c r="BG135" s="200"/>
      <c r="BH135" s="200"/>
      <c r="BI135" s="200"/>
      <c r="BJ135" s="200"/>
      <c r="BK135" s="200"/>
      <c r="BL135" s="200"/>
      <c r="BM135" s="200"/>
      <c r="BN135" s="200"/>
      <c r="BO135" s="200"/>
      <c r="BP135" s="200"/>
      <c r="BQ135" s="200"/>
      <c r="BR135" s="200"/>
      <c r="BS135" s="200"/>
      <c r="BT135" s="200"/>
      <c r="BU135" s="200"/>
    </row>
    <row r="136" spans="1:73" ht="15">
      <c r="A136" s="73" t="s">
        <v>9</v>
      </c>
      <c r="B136" s="74"/>
      <c r="C136" s="74"/>
      <c r="D136" s="74"/>
      <c r="E136" s="74"/>
      <c r="F136" s="74"/>
      <c r="G136" s="74"/>
      <c r="H136" s="74"/>
      <c r="I136" s="74"/>
      <c r="J136" s="75"/>
      <c r="K136" s="74"/>
      <c r="L136" s="74"/>
      <c r="M136" s="74"/>
      <c r="N136" s="76"/>
      <c r="O136" s="76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223"/>
      <c r="AC136" s="200"/>
      <c r="AD136" s="200"/>
      <c r="AE136" s="200"/>
      <c r="AF136" s="200"/>
      <c r="AG136" s="200"/>
      <c r="AH136" s="200"/>
      <c r="AI136" s="200"/>
      <c r="AJ136" s="200"/>
      <c r="AK136" s="200"/>
      <c r="AL136" s="200"/>
      <c r="AM136" s="200"/>
      <c r="AN136" s="200"/>
      <c r="AO136" s="200"/>
      <c r="AP136" s="200"/>
      <c r="AQ136" s="200"/>
      <c r="AR136" s="200"/>
      <c r="AS136" s="200"/>
      <c r="AT136" s="200"/>
      <c r="AU136" s="200"/>
      <c r="AV136" s="200"/>
      <c r="AW136" s="200"/>
      <c r="AX136" s="200"/>
      <c r="AY136" s="200"/>
      <c r="AZ136" s="200"/>
      <c r="BA136" s="200"/>
      <c r="BB136" s="200"/>
      <c r="BC136" s="200"/>
      <c r="BD136" s="200"/>
      <c r="BE136" s="200"/>
      <c r="BF136" s="200"/>
      <c r="BG136" s="200"/>
      <c r="BH136" s="200"/>
      <c r="BI136" s="200"/>
      <c r="BJ136" s="200"/>
      <c r="BK136" s="200"/>
      <c r="BL136" s="200"/>
      <c r="BM136" s="200"/>
      <c r="BN136" s="200"/>
      <c r="BO136" s="200"/>
      <c r="BP136" s="200"/>
      <c r="BQ136" s="200"/>
      <c r="BR136" s="200"/>
      <c r="BS136" s="200"/>
      <c r="BT136" s="200"/>
      <c r="BU136" s="200"/>
    </row>
    <row r="137" spans="1:73" ht="15">
      <c r="A137" s="13" t="s">
        <v>10</v>
      </c>
      <c r="B137" s="37" t="s">
        <v>65</v>
      </c>
      <c r="C137" s="35">
        <f aca="true" t="shared" si="74" ref="C137:AA137">C138+C138*0.1</f>
        <v>261041</v>
      </c>
      <c r="D137" s="35">
        <f t="shared" si="74"/>
        <v>377932.5</v>
      </c>
      <c r="E137" s="35">
        <f t="shared" si="74"/>
        <v>482264.2</v>
      </c>
      <c r="F137" s="35">
        <f t="shared" si="74"/>
        <v>500960.9</v>
      </c>
      <c r="G137" s="35">
        <f t="shared" si="74"/>
        <v>570087.1</v>
      </c>
      <c r="H137" s="35">
        <f t="shared" si="74"/>
        <v>645112.6</v>
      </c>
      <c r="I137" s="35">
        <f t="shared" si="74"/>
        <v>720138.1</v>
      </c>
      <c r="J137" s="35">
        <f t="shared" si="74"/>
        <v>795163.6</v>
      </c>
      <c r="K137" s="35">
        <f t="shared" si="74"/>
        <v>870189.1</v>
      </c>
      <c r="L137" s="35">
        <f t="shared" si="74"/>
        <v>945214.6</v>
      </c>
      <c r="M137" s="35">
        <f t="shared" si="74"/>
        <v>1020240.1</v>
      </c>
      <c r="N137" s="35">
        <f t="shared" si="74"/>
        <v>1095265.6</v>
      </c>
      <c r="O137" s="35">
        <f t="shared" si="74"/>
        <v>8283609.4</v>
      </c>
      <c r="P137" s="35">
        <f t="shared" si="74"/>
        <v>1167673.1</v>
      </c>
      <c r="Q137" s="35">
        <f t="shared" si="74"/>
        <v>1239862.4333333333</v>
      </c>
      <c r="R137" s="35">
        <f t="shared" si="74"/>
        <v>1311815.4194444446</v>
      </c>
      <c r="S137" s="35">
        <f t="shared" si="74"/>
        <v>1383512.3627314817</v>
      </c>
      <c r="T137" s="35">
        <f t="shared" si="74"/>
        <v>1454931.9262924383</v>
      </c>
      <c r="U137" s="35">
        <f t="shared" si="74"/>
        <v>1526050.9951501414</v>
      </c>
      <c r="V137" s="35">
        <f t="shared" si="74"/>
        <v>1596844.5280793197</v>
      </c>
      <c r="W137" s="35">
        <f t="shared" si="74"/>
        <v>1667285.3970859298</v>
      </c>
      <c r="X137" s="35">
        <f t="shared" si="74"/>
        <v>1737344.2135097573</v>
      </c>
      <c r="Y137" s="35">
        <f t="shared" si="74"/>
        <v>1806989.1396355703</v>
      </c>
      <c r="Z137" s="35">
        <f t="shared" si="74"/>
        <v>1876185.6846052012</v>
      </c>
      <c r="AA137" s="35">
        <f t="shared" si="74"/>
        <v>1944896.4833223014</v>
      </c>
      <c r="AB137" s="35">
        <f>SUM(B137:AA137)</f>
        <v>35280610.48318992</v>
      </c>
      <c r="AC137" s="200"/>
      <c r="AD137" s="200"/>
      <c r="AE137" s="200"/>
      <c r="AF137" s="200"/>
      <c r="AG137" s="200"/>
      <c r="AH137" s="200"/>
      <c r="AI137" s="200"/>
      <c r="AJ137" s="200"/>
      <c r="AK137" s="200"/>
      <c r="AL137" s="200"/>
      <c r="AM137" s="200"/>
      <c r="AN137" s="200"/>
      <c r="AO137" s="200"/>
      <c r="AP137" s="200"/>
      <c r="AQ137" s="200"/>
      <c r="AR137" s="200"/>
      <c r="AS137" s="200"/>
      <c r="AT137" s="200"/>
      <c r="AU137" s="200"/>
      <c r="AV137" s="200"/>
      <c r="AW137" s="200"/>
      <c r="AX137" s="200"/>
      <c r="AY137" s="200"/>
      <c r="AZ137" s="200"/>
      <c r="BA137" s="200"/>
      <c r="BB137" s="200"/>
      <c r="BC137" s="200"/>
      <c r="BD137" s="200"/>
      <c r="BE137" s="200"/>
      <c r="BF137" s="200"/>
      <c r="BG137" s="200"/>
      <c r="BH137" s="200"/>
      <c r="BI137" s="200"/>
      <c r="BJ137" s="200"/>
      <c r="BK137" s="200"/>
      <c r="BL137" s="200"/>
      <c r="BM137" s="200"/>
      <c r="BN137" s="200"/>
      <c r="BO137" s="200"/>
      <c r="BP137" s="200"/>
      <c r="BQ137" s="200"/>
      <c r="BR137" s="200"/>
      <c r="BS137" s="200"/>
      <c r="BT137" s="200"/>
      <c r="BU137" s="200"/>
    </row>
    <row r="138" spans="1:73" ht="15">
      <c r="A138" s="13" t="s">
        <v>11</v>
      </c>
      <c r="B138" s="37" t="s">
        <v>65</v>
      </c>
      <c r="C138" s="35">
        <f>C42+C79+C113</f>
        <v>237310</v>
      </c>
      <c r="D138" s="35">
        <f aca="true" t="shared" si="75" ref="D138:N138">D42+D79+D113</f>
        <v>343575</v>
      </c>
      <c r="E138" s="35">
        <f t="shared" si="75"/>
        <v>438422</v>
      </c>
      <c r="F138" s="35">
        <f t="shared" si="75"/>
        <v>455419</v>
      </c>
      <c r="G138" s="35">
        <f t="shared" si="75"/>
        <v>518261</v>
      </c>
      <c r="H138" s="35">
        <f t="shared" si="75"/>
        <v>586466</v>
      </c>
      <c r="I138" s="35">
        <f t="shared" si="75"/>
        <v>654671</v>
      </c>
      <c r="J138" s="35">
        <f t="shared" si="75"/>
        <v>722876</v>
      </c>
      <c r="K138" s="35">
        <f t="shared" si="75"/>
        <v>791081</v>
      </c>
      <c r="L138" s="35">
        <f t="shared" si="75"/>
        <v>859286</v>
      </c>
      <c r="M138" s="35">
        <f t="shared" si="75"/>
        <v>927491</v>
      </c>
      <c r="N138" s="35">
        <f t="shared" si="75"/>
        <v>995696</v>
      </c>
      <c r="O138" s="41">
        <f>SUM(C138:N138)</f>
        <v>7530554</v>
      </c>
      <c r="P138" s="35">
        <f aca="true" t="shared" si="76" ref="P138:AA138">P112-P114+P78-P80+P41-P43</f>
        <v>1061521</v>
      </c>
      <c r="Q138" s="35">
        <f t="shared" si="76"/>
        <v>1127147.6666666667</v>
      </c>
      <c r="R138" s="35">
        <f t="shared" si="76"/>
        <v>1192559.4722222222</v>
      </c>
      <c r="S138" s="35">
        <f t="shared" si="76"/>
        <v>1257738.5115740742</v>
      </c>
      <c r="T138" s="35">
        <f t="shared" si="76"/>
        <v>1322665.3875385802</v>
      </c>
      <c r="U138" s="35">
        <f t="shared" si="76"/>
        <v>1387319.0865001285</v>
      </c>
      <c r="V138" s="35">
        <f t="shared" si="76"/>
        <v>1451676.8437084726</v>
      </c>
      <c r="W138" s="35">
        <f t="shared" si="76"/>
        <v>1515713.9973508453</v>
      </c>
      <c r="X138" s="35">
        <f t="shared" si="76"/>
        <v>1579403.8304634157</v>
      </c>
      <c r="Y138" s="35">
        <f t="shared" si="76"/>
        <v>1642717.3996687003</v>
      </c>
      <c r="Z138" s="35">
        <f t="shared" si="76"/>
        <v>1705623.3496410921</v>
      </c>
      <c r="AA138" s="208">
        <f t="shared" si="76"/>
        <v>1768087.7121111832</v>
      </c>
      <c r="AB138" s="35">
        <f>SUM(B138:AA138)</f>
        <v>32073282.257445384</v>
      </c>
      <c r="AC138" s="200"/>
      <c r="AD138" s="200"/>
      <c r="AE138" s="200"/>
      <c r="AF138" s="200"/>
      <c r="AG138" s="200"/>
      <c r="AH138" s="200"/>
      <c r="AI138" s="200"/>
      <c r="AJ138" s="200"/>
      <c r="AK138" s="200"/>
      <c r="AL138" s="200"/>
      <c r="AM138" s="200"/>
      <c r="AN138" s="200"/>
      <c r="AO138" s="200"/>
      <c r="AP138" s="200"/>
      <c r="AQ138" s="200"/>
      <c r="AR138" s="200"/>
      <c r="AS138" s="200"/>
      <c r="AT138" s="200"/>
      <c r="AU138" s="200"/>
      <c r="AV138" s="200"/>
      <c r="AW138" s="200"/>
      <c r="AX138" s="200"/>
      <c r="AY138" s="200"/>
      <c r="AZ138" s="200"/>
      <c r="BA138" s="200"/>
      <c r="BB138" s="200"/>
      <c r="BC138" s="200"/>
      <c r="BD138" s="200"/>
      <c r="BE138" s="200"/>
      <c r="BF138" s="200"/>
      <c r="BG138" s="200"/>
      <c r="BH138" s="200"/>
      <c r="BI138" s="200"/>
      <c r="BJ138" s="200"/>
      <c r="BK138" s="200"/>
      <c r="BL138" s="200"/>
      <c r="BM138" s="200"/>
      <c r="BN138" s="200"/>
      <c r="BO138" s="200"/>
      <c r="BP138" s="200"/>
      <c r="BQ138" s="200"/>
      <c r="BR138" s="200"/>
      <c r="BS138" s="200"/>
      <c r="BT138" s="200"/>
      <c r="BU138" s="200"/>
    </row>
    <row r="139" spans="1:73" ht="15">
      <c r="A139" s="13" t="s">
        <v>12</v>
      </c>
      <c r="B139" s="37" t="s">
        <v>65</v>
      </c>
      <c r="C139" s="35">
        <f>C132-C138+C137</f>
        <v>623731</v>
      </c>
      <c r="D139" s="35">
        <f aca="true" t="shared" si="77" ref="D139:AA139">C139+D137-D138</f>
        <v>658088.5</v>
      </c>
      <c r="E139" s="35">
        <f t="shared" si="77"/>
        <v>701930.7</v>
      </c>
      <c r="F139" s="35">
        <f t="shared" si="77"/>
        <v>747472.6000000001</v>
      </c>
      <c r="G139" s="35">
        <f t="shared" si="77"/>
        <v>799298.7000000002</v>
      </c>
      <c r="H139" s="35">
        <f t="shared" si="77"/>
        <v>857945.3000000003</v>
      </c>
      <c r="I139" s="35">
        <f t="shared" si="77"/>
        <v>923412.4000000004</v>
      </c>
      <c r="J139" s="35">
        <f t="shared" si="77"/>
        <v>995700.0000000005</v>
      </c>
      <c r="K139" s="35">
        <f t="shared" si="77"/>
        <v>1074808.1000000006</v>
      </c>
      <c r="L139" s="35">
        <f t="shared" si="77"/>
        <v>1160736.7000000007</v>
      </c>
      <c r="M139" s="35">
        <f t="shared" si="77"/>
        <v>1253485.8000000007</v>
      </c>
      <c r="N139" s="41">
        <f t="shared" si="77"/>
        <v>1353055.4000000008</v>
      </c>
      <c r="O139" s="41">
        <f>SUM(C139:N139)</f>
        <v>11149665.200000003</v>
      </c>
      <c r="P139" s="35">
        <f>N139+P137-P138</f>
        <v>1459207.500000001</v>
      </c>
      <c r="Q139" s="35">
        <f t="shared" si="77"/>
        <v>1571922.2666666678</v>
      </c>
      <c r="R139" s="35">
        <f t="shared" si="77"/>
        <v>1691178.2138888899</v>
      </c>
      <c r="S139" s="35">
        <f t="shared" si="77"/>
        <v>1816952.0650462974</v>
      </c>
      <c r="T139" s="35">
        <f t="shared" si="77"/>
        <v>1949218.6038001552</v>
      </c>
      <c r="U139" s="35">
        <f t="shared" si="77"/>
        <v>2087950.5124501681</v>
      </c>
      <c r="V139" s="35">
        <f t="shared" si="77"/>
        <v>2233118.1968210153</v>
      </c>
      <c r="W139" s="35">
        <f t="shared" si="77"/>
        <v>2384689.5965561</v>
      </c>
      <c r="X139" s="35">
        <f t="shared" si="77"/>
        <v>2542629.979602441</v>
      </c>
      <c r="Y139" s="35">
        <f t="shared" si="77"/>
        <v>2706901.7195693115</v>
      </c>
      <c r="Z139" s="35">
        <f t="shared" si="77"/>
        <v>2877464.05453342</v>
      </c>
      <c r="AA139" s="208">
        <f t="shared" si="77"/>
        <v>3054272.8257445386</v>
      </c>
      <c r="AB139" s="35">
        <f>SUM(B139:AA139)</f>
        <v>48674835.93467902</v>
      </c>
      <c r="AC139" s="200"/>
      <c r="AD139" s="200"/>
      <c r="AE139" s="200"/>
      <c r="AF139" s="200"/>
      <c r="AG139" s="200"/>
      <c r="AH139" s="200"/>
      <c r="AI139" s="200"/>
      <c r="AJ139" s="200"/>
      <c r="AK139" s="200"/>
      <c r="AL139" s="200"/>
      <c r="AM139" s="200"/>
      <c r="AN139" s="200"/>
      <c r="AO139" s="200"/>
      <c r="AP139" s="200"/>
      <c r="AQ139" s="200"/>
      <c r="AR139" s="200"/>
      <c r="AS139" s="200"/>
      <c r="AT139" s="200"/>
      <c r="AU139" s="200"/>
      <c r="AV139" s="200"/>
      <c r="AW139" s="200"/>
      <c r="AX139" s="200"/>
      <c r="AY139" s="200"/>
      <c r="AZ139" s="200"/>
      <c r="BA139" s="200"/>
      <c r="BB139" s="200"/>
      <c r="BC139" s="200"/>
      <c r="BD139" s="200"/>
      <c r="BE139" s="200"/>
      <c r="BF139" s="200"/>
      <c r="BG139" s="200"/>
      <c r="BH139" s="200"/>
      <c r="BI139" s="200"/>
      <c r="BJ139" s="200"/>
      <c r="BK139" s="200"/>
      <c r="BL139" s="200"/>
      <c r="BM139" s="200"/>
      <c r="BN139" s="200"/>
      <c r="BO139" s="200"/>
      <c r="BP139" s="200"/>
      <c r="BQ139" s="200"/>
      <c r="BR139" s="200"/>
      <c r="BS139" s="200"/>
      <c r="BT139" s="200"/>
      <c r="BU139" s="200"/>
    </row>
    <row r="140" spans="1:73" ht="15">
      <c r="A140" s="13" t="s">
        <v>80</v>
      </c>
      <c r="B140" s="13" t="s">
        <v>87</v>
      </c>
      <c r="C140" s="68">
        <f aca="true" t="shared" si="78" ref="C140:AB140">C139/C115</f>
        <v>1.8754342946573677</v>
      </c>
      <c r="D140" s="68">
        <f t="shared" si="78"/>
        <v>1.375520388354588</v>
      </c>
      <c r="E140" s="68">
        <f t="shared" si="78"/>
        <v>1.155019590375137</v>
      </c>
      <c r="F140" s="68">
        <f t="shared" si="78"/>
        <v>1.1976183584720907</v>
      </c>
      <c r="G140" s="68">
        <f t="shared" si="78"/>
        <v>1.1305202855738774</v>
      </c>
      <c r="H140" s="68">
        <f t="shared" si="78"/>
        <v>1.075549778250872</v>
      </c>
      <c r="I140" s="68">
        <f t="shared" si="78"/>
        <v>1.0394773775150694</v>
      </c>
      <c r="J140" s="68">
        <f t="shared" si="78"/>
        <v>1.0170528205570313</v>
      </c>
      <c r="K140" s="68">
        <f t="shared" si="78"/>
        <v>1.004805839422337</v>
      </c>
      <c r="L140" s="68">
        <f t="shared" si="78"/>
        <v>1.0003507623738328</v>
      </c>
      <c r="M140" s="68">
        <f t="shared" si="78"/>
        <v>1.0019934980396963</v>
      </c>
      <c r="N140" s="68">
        <f t="shared" si="78"/>
        <v>1.0084978677814305</v>
      </c>
      <c r="O140" s="68">
        <f t="shared" si="78"/>
        <v>1.0890947156289776</v>
      </c>
      <c r="P140" s="68">
        <f t="shared" si="78"/>
        <v>1.1406470723444582</v>
      </c>
      <c r="Q140" s="68">
        <f t="shared" si="78"/>
        <v>1.1573819599161341</v>
      </c>
      <c r="R140" s="68">
        <f t="shared" si="78"/>
        <v>1.1768312359255813</v>
      </c>
      <c r="S140" s="68">
        <f t="shared" si="78"/>
        <v>1.1985557747810731</v>
      </c>
      <c r="T140" s="68">
        <f t="shared" si="78"/>
        <v>1.2222021215965733</v>
      </c>
      <c r="U140" s="68">
        <f t="shared" si="78"/>
        <v>1.2474822054515478</v>
      </c>
      <c r="V140" s="68">
        <f t="shared" si="78"/>
        <v>1.2741585239309683</v>
      </c>
      <c r="W140" s="68">
        <f t="shared" si="78"/>
        <v>1.3020331486495695</v>
      </c>
      <c r="X140" s="68">
        <f t="shared" si="78"/>
        <v>1.3309394466084574</v>
      </c>
      <c r="Y140" s="68">
        <f t="shared" si="78"/>
        <v>1.3607357628011763</v>
      </c>
      <c r="Z140" s="68">
        <f t="shared" si="78"/>
        <v>1.3913005397000398</v>
      </c>
      <c r="AA140" s="209">
        <f t="shared" si="78"/>
        <v>1.4225285033339983</v>
      </c>
      <c r="AB140" s="68">
        <f t="shared" si="78"/>
        <v>1.3639452320882606</v>
      </c>
      <c r="AC140" s="200"/>
      <c r="AD140" s="200"/>
      <c r="AE140" s="200"/>
      <c r="AF140" s="200"/>
      <c r="AG140" s="200"/>
      <c r="AH140" s="200"/>
      <c r="AI140" s="200"/>
      <c r="AJ140" s="200"/>
      <c r="AK140" s="200"/>
      <c r="AL140" s="200"/>
      <c r="AM140" s="200"/>
      <c r="AN140" s="200"/>
      <c r="AO140" s="200"/>
      <c r="AP140" s="200"/>
      <c r="AQ140" s="200"/>
      <c r="AR140" s="200"/>
      <c r="AS140" s="200"/>
      <c r="AT140" s="200"/>
      <c r="AU140" s="200"/>
      <c r="AV140" s="200"/>
      <c r="AW140" s="200"/>
      <c r="AX140" s="200"/>
      <c r="AY140" s="200"/>
      <c r="AZ140" s="200"/>
      <c r="BA140" s="200"/>
      <c r="BB140" s="200"/>
      <c r="BC140" s="200"/>
      <c r="BD140" s="200"/>
      <c r="BE140" s="200"/>
      <c r="BF140" s="200"/>
      <c r="BG140" s="200"/>
      <c r="BH140" s="200"/>
      <c r="BI140" s="200"/>
      <c r="BJ140" s="200"/>
      <c r="BK140" s="200"/>
      <c r="BL140" s="200"/>
      <c r="BM140" s="200"/>
      <c r="BN140" s="200"/>
      <c r="BO140" s="200"/>
      <c r="BP140" s="200"/>
      <c r="BQ140" s="200"/>
      <c r="BR140" s="200"/>
      <c r="BS140" s="200"/>
      <c r="BT140" s="200"/>
      <c r="BU140" s="200"/>
    </row>
    <row r="141" spans="1:73" ht="15">
      <c r="A141" s="77" t="s">
        <v>13</v>
      </c>
      <c r="B141" s="79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80"/>
      <c r="O141" s="80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80"/>
      <c r="AC141" s="200"/>
      <c r="AD141" s="200"/>
      <c r="AE141" s="200"/>
      <c r="AF141" s="200"/>
      <c r="AG141" s="200"/>
      <c r="AH141" s="200"/>
      <c r="AI141" s="200"/>
      <c r="AJ141" s="200"/>
      <c r="AK141" s="200"/>
      <c r="AL141" s="200"/>
      <c r="AM141" s="200"/>
      <c r="AN141" s="200"/>
      <c r="AO141" s="200"/>
      <c r="AP141" s="200"/>
      <c r="AQ141" s="200"/>
      <c r="AR141" s="200"/>
      <c r="AS141" s="200"/>
      <c r="AT141" s="200"/>
      <c r="AU141" s="200"/>
      <c r="AV141" s="200"/>
      <c r="AW141" s="200"/>
      <c r="AX141" s="200"/>
      <c r="AY141" s="200"/>
      <c r="AZ141" s="200"/>
      <c r="BA141" s="200"/>
      <c r="BB141" s="200"/>
      <c r="BC141" s="200"/>
      <c r="BD141" s="200"/>
      <c r="BE141" s="200"/>
      <c r="BF141" s="200"/>
      <c r="BG141" s="200"/>
      <c r="BH141" s="200"/>
      <c r="BI141" s="200"/>
      <c r="BJ141" s="200"/>
      <c r="BK141" s="200"/>
      <c r="BL141" s="200"/>
      <c r="BM141" s="200"/>
      <c r="BN141" s="200"/>
      <c r="BO141" s="200"/>
      <c r="BP141" s="200"/>
      <c r="BQ141" s="200"/>
      <c r="BR141" s="200"/>
      <c r="BS141" s="200"/>
      <c r="BT141" s="200"/>
      <c r="BU141" s="200"/>
    </row>
    <row r="142" spans="1:73" ht="30">
      <c r="A142" s="15" t="s">
        <v>14</v>
      </c>
      <c r="B142" s="37" t="s">
        <v>65</v>
      </c>
      <c r="C142" s="13">
        <f>C143*C144</f>
        <v>43400</v>
      </c>
      <c r="D142" s="13">
        <f aca="true" t="shared" si="79" ref="D142:N142">D143*D144</f>
        <v>43400</v>
      </c>
      <c r="E142" s="13">
        <f t="shared" si="79"/>
        <v>43400</v>
      </c>
      <c r="F142" s="13">
        <f t="shared" si="79"/>
        <v>43400</v>
      </c>
      <c r="G142" s="13">
        <f t="shared" si="79"/>
        <v>43400</v>
      </c>
      <c r="H142" s="13">
        <f t="shared" si="79"/>
        <v>43400</v>
      </c>
      <c r="I142" s="13">
        <f t="shared" si="79"/>
        <v>43400</v>
      </c>
      <c r="J142" s="13">
        <f t="shared" si="79"/>
        <v>43400</v>
      </c>
      <c r="K142" s="13">
        <f t="shared" si="79"/>
        <v>43400</v>
      </c>
      <c r="L142" s="13">
        <f t="shared" si="79"/>
        <v>43400</v>
      </c>
      <c r="M142" s="13">
        <f t="shared" si="79"/>
        <v>43400</v>
      </c>
      <c r="N142" s="13">
        <f t="shared" si="79"/>
        <v>43400</v>
      </c>
      <c r="O142" s="63">
        <f>SUM(C142:N142)</f>
        <v>520800</v>
      </c>
      <c r="P142" s="13">
        <f>N142*2</f>
        <v>86800</v>
      </c>
      <c r="Q142" s="13">
        <v>76000</v>
      </c>
      <c r="R142" s="13">
        <v>76000</v>
      </c>
      <c r="S142" s="13">
        <v>76000</v>
      </c>
      <c r="T142" s="13">
        <v>76000</v>
      </c>
      <c r="U142" s="13">
        <v>76000</v>
      </c>
      <c r="V142" s="13">
        <v>76000</v>
      </c>
      <c r="W142" s="13">
        <v>76000</v>
      </c>
      <c r="X142" s="13">
        <v>76000</v>
      </c>
      <c r="Y142" s="13">
        <v>76000</v>
      </c>
      <c r="Z142" s="13">
        <v>76000</v>
      </c>
      <c r="AA142" s="206">
        <v>76000</v>
      </c>
      <c r="AB142" s="81">
        <f>SUM(C142:AA142)</f>
        <v>1964400</v>
      </c>
      <c r="AC142" s="200"/>
      <c r="AD142" s="200"/>
      <c r="AE142" s="200"/>
      <c r="AF142" s="200"/>
      <c r="AG142" s="200"/>
      <c r="AH142" s="200"/>
      <c r="AI142" s="200"/>
      <c r="AJ142" s="200"/>
      <c r="AK142" s="200"/>
      <c r="AL142" s="200"/>
      <c r="AM142" s="200"/>
      <c r="AN142" s="200"/>
      <c r="AO142" s="200"/>
      <c r="AP142" s="200"/>
      <c r="AQ142" s="200"/>
      <c r="AR142" s="200"/>
      <c r="AS142" s="200"/>
      <c r="AT142" s="200"/>
      <c r="AU142" s="200"/>
      <c r="AV142" s="200"/>
      <c r="AW142" s="200"/>
      <c r="AX142" s="200"/>
      <c r="AY142" s="200"/>
      <c r="AZ142" s="200"/>
      <c r="BA142" s="200"/>
      <c r="BB142" s="200"/>
      <c r="BC142" s="200"/>
      <c r="BD142" s="200"/>
      <c r="BE142" s="200"/>
      <c r="BF142" s="200"/>
      <c r="BG142" s="200"/>
      <c r="BH142" s="200"/>
      <c r="BI142" s="200"/>
      <c r="BJ142" s="200"/>
      <c r="BK142" s="200"/>
      <c r="BL142" s="200"/>
      <c r="BM142" s="200"/>
      <c r="BN142" s="200"/>
      <c r="BO142" s="200"/>
      <c r="BP142" s="200"/>
      <c r="BQ142" s="200"/>
      <c r="BR142" s="200"/>
      <c r="BS142" s="200"/>
      <c r="BT142" s="200"/>
      <c r="BU142" s="200"/>
    </row>
    <row r="143" spans="1:73" ht="15">
      <c r="A143" s="15" t="s">
        <v>85</v>
      </c>
      <c r="B143" s="37" t="s">
        <v>91</v>
      </c>
      <c r="C143" s="51">
        <f>пар!B24</f>
        <v>1550</v>
      </c>
      <c r="D143" s="82">
        <f>C143</f>
        <v>1550</v>
      </c>
      <c r="E143" s="82">
        <f aca="true" t="shared" si="80" ref="E143:N144">D143</f>
        <v>1550</v>
      </c>
      <c r="F143" s="82">
        <f t="shared" si="80"/>
        <v>1550</v>
      </c>
      <c r="G143" s="82">
        <f t="shared" si="80"/>
        <v>1550</v>
      </c>
      <c r="H143" s="82">
        <f t="shared" si="80"/>
        <v>1550</v>
      </c>
      <c r="I143" s="82">
        <f t="shared" si="80"/>
        <v>1550</v>
      </c>
      <c r="J143" s="82">
        <f t="shared" si="80"/>
        <v>1550</v>
      </c>
      <c r="K143" s="82">
        <f t="shared" si="80"/>
        <v>1550</v>
      </c>
      <c r="L143" s="82">
        <f t="shared" si="80"/>
        <v>1550</v>
      </c>
      <c r="M143" s="82">
        <f t="shared" si="80"/>
        <v>1550</v>
      </c>
      <c r="N143" s="82">
        <f t="shared" si="80"/>
        <v>1550</v>
      </c>
      <c r="O143" s="58">
        <f>(C143+D143+E143+F143+G143+H143+I143+J143+K143+L143+M143+N143)/12</f>
        <v>1550</v>
      </c>
      <c r="P143" s="35">
        <f>C143</f>
        <v>1550</v>
      </c>
      <c r="Q143" s="35">
        <f>P143</f>
        <v>1550</v>
      </c>
      <c r="R143" s="35">
        <f aca="true" t="shared" si="81" ref="R143:AA144">Q143</f>
        <v>1550</v>
      </c>
      <c r="S143" s="35">
        <f t="shared" si="81"/>
        <v>1550</v>
      </c>
      <c r="T143" s="35">
        <f t="shared" si="81"/>
        <v>1550</v>
      </c>
      <c r="U143" s="35">
        <f t="shared" si="81"/>
        <v>1550</v>
      </c>
      <c r="V143" s="35">
        <f t="shared" si="81"/>
        <v>1550</v>
      </c>
      <c r="W143" s="35">
        <f t="shared" si="81"/>
        <v>1550</v>
      </c>
      <c r="X143" s="35">
        <f t="shared" si="81"/>
        <v>1550</v>
      </c>
      <c r="Y143" s="35">
        <f t="shared" si="81"/>
        <v>1550</v>
      </c>
      <c r="Z143" s="35">
        <f t="shared" si="81"/>
        <v>1550</v>
      </c>
      <c r="AA143" s="208">
        <f t="shared" si="81"/>
        <v>1550</v>
      </c>
      <c r="AB143" s="58">
        <f>(P143+Q143+R143+S143+T143+U143+V143+W143+X143+Y143+Z143+AA143)/12</f>
        <v>1550</v>
      </c>
      <c r="AC143" s="200"/>
      <c r="AD143" s="200"/>
      <c r="AE143" s="200"/>
      <c r="AF143" s="200"/>
      <c r="AG143" s="200"/>
      <c r="AH143" s="200"/>
      <c r="AI143" s="200"/>
      <c r="AJ143" s="200"/>
      <c r="AK143" s="200"/>
      <c r="AL143" s="200"/>
      <c r="AM143" s="200"/>
      <c r="AN143" s="200"/>
      <c r="AO143" s="200"/>
      <c r="AP143" s="200"/>
      <c r="AQ143" s="200"/>
      <c r="AR143" s="200"/>
      <c r="AS143" s="200"/>
      <c r="AT143" s="200"/>
      <c r="AU143" s="200"/>
      <c r="AV143" s="200"/>
      <c r="AW143" s="200"/>
      <c r="AX143" s="200"/>
      <c r="AY143" s="200"/>
      <c r="AZ143" s="200"/>
      <c r="BA143" s="200"/>
      <c r="BB143" s="200"/>
      <c r="BC143" s="200"/>
      <c r="BD143" s="200"/>
      <c r="BE143" s="200"/>
      <c r="BF143" s="200"/>
      <c r="BG143" s="200"/>
      <c r="BH143" s="200"/>
      <c r="BI143" s="200"/>
      <c r="BJ143" s="200"/>
      <c r="BK143" s="200"/>
      <c r="BL143" s="200"/>
      <c r="BM143" s="200"/>
      <c r="BN143" s="200"/>
      <c r="BO143" s="200"/>
      <c r="BP143" s="200"/>
      <c r="BQ143" s="200"/>
      <c r="BR143" s="200"/>
      <c r="BS143" s="200"/>
      <c r="BT143" s="200"/>
      <c r="BU143" s="200"/>
    </row>
    <row r="144" spans="1:73" ht="15">
      <c r="A144" s="15" t="s">
        <v>86</v>
      </c>
      <c r="B144" s="37" t="s">
        <v>92</v>
      </c>
      <c r="C144" s="51">
        <f>пар!B22</f>
        <v>28</v>
      </c>
      <c r="D144" s="82">
        <f>C144</f>
        <v>28</v>
      </c>
      <c r="E144" s="82">
        <f t="shared" si="80"/>
        <v>28</v>
      </c>
      <c r="F144" s="82">
        <f t="shared" si="80"/>
        <v>28</v>
      </c>
      <c r="G144" s="82">
        <f t="shared" si="80"/>
        <v>28</v>
      </c>
      <c r="H144" s="82">
        <f t="shared" si="80"/>
        <v>28</v>
      </c>
      <c r="I144" s="82">
        <f t="shared" si="80"/>
        <v>28</v>
      </c>
      <c r="J144" s="82">
        <f t="shared" si="80"/>
        <v>28</v>
      </c>
      <c r="K144" s="82">
        <f t="shared" si="80"/>
        <v>28</v>
      </c>
      <c r="L144" s="82">
        <f t="shared" si="80"/>
        <v>28</v>
      </c>
      <c r="M144" s="82">
        <f t="shared" si="80"/>
        <v>28</v>
      </c>
      <c r="N144" s="82">
        <f t="shared" si="80"/>
        <v>28</v>
      </c>
      <c r="O144" s="58">
        <f>(C144+D144+E144+F144+G144+H144+I144+J144+K144+L144+M144+N144)/12</f>
        <v>28</v>
      </c>
      <c r="P144" s="35">
        <f>C144</f>
        <v>28</v>
      </c>
      <c r="Q144" s="35">
        <f>P144</f>
        <v>28</v>
      </c>
      <c r="R144" s="35">
        <f t="shared" si="81"/>
        <v>28</v>
      </c>
      <c r="S144" s="35">
        <f t="shared" si="81"/>
        <v>28</v>
      </c>
      <c r="T144" s="35">
        <f t="shared" si="81"/>
        <v>28</v>
      </c>
      <c r="U144" s="35">
        <f t="shared" si="81"/>
        <v>28</v>
      </c>
      <c r="V144" s="35">
        <f t="shared" si="81"/>
        <v>28</v>
      </c>
      <c r="W144" s="35">
        <f t="shared" si="81"/>
        <v>28</v>
      </c>
      <c r="X144" s="35">
        <f t="shared" si="81"/>
        <v>28</v>
      </c>
      <c r="Y144" s="35">
        <f t="shared" si="81"/>
        <v>28</v>
      </c>
      <c r="Z144" s="35">
        <f t="shared" si="81"/>
        <v>28</v>
      </c>
      <c r="AA144" s="208">
        <f t="shared" si="81"/>
        <v>28</v>
      </c>
      <c r="AB144" s="58">
        <f>(P144+Q144+R144+S144+T144+U144+V144+W144+X144+Y144+Z144+AA144)/12</f>
        <v>28</v>
      </c>
      <c r="AC144" s="200"/>
      <c r="AD144" s="200"/>
      <c r="AE144" s="200"/>
      <c r="AF144" s="200"/>
      <c r="AG144" s="200"/>
      <c r="AH144" s="200"/>
      <c r="AI144" s="200"/>
      <c r="AJ144" s="200"/>
      <c r="AK144" s="200"/>
      <c r="AL144" s="200"/>
      <c r="AM144" s="200"/>
      <c r="AN144" s="200"/>
      <c r="AO144" s="200"/>
      <c r="AP144" s="200"/>
      <c r="AQ144" s="200"/>
      <c r="AR144" s="200"/>
      <c r="AS144" s="200"/>
      <c r="AT144" s="200"/>
      <c r="AU144" s="200"/>
      <c r="AV144" s="200"/>
      <c r="AW144" s="200"/>
      <c r="AX144" s="200"/>
      <c r="AY144" s="200"/>
      <c r="AZ144" s="200"/>
      <c r="BA144" s="200"/>
      <c r="BB144" s="200"/>
      <c r="BC144" s="200"/>
      <c r="BD144" s="200"/>
      <c r="BE144" s="200"/>
      <c r="BF144" s="200"/>
      <c r="BG144" s="200"/>
      <c r="BH144" s="200"/>
      <c r="BI144" s="200"/>
      <c r="BJ144" s="200"/>
      <c r="BK144" s="200"/>
      <c r="BL144" s="200"/>
      <c r="BM144" s="200"/>
      <c r="BN144" s="200"/>
      <c r="BO144" s="200"/>
      <c r="BP144" s="200"/>
      <c r="BQ144" s="200"/>
      <c r="BR144" s="200"/>
      <c r="BS144" s="200"/>
      <c r="BT144" s="200"/>
      <c r="BU144" s="200"/>
    </row>
    <row r="145" spans="1:73" ht="15">
      <c r="A145" s="15" t="s">
        <v>122</v>
      </c>
      <c r="B145" s="37"/>
      <c r="C145" s="51">
        <f>пар!B23</f>
        <v>20</v>
      </c>
      <c r="D145" s="82">
        <f>C145</f>
        <v>20</v>
      </c>
      <c r="E145" s="82">
        <f aca="true" t="shared" si="82" ref="E145:N145">D145</f>
        <v>20</v>
      </c>
      <c r="F145" s="82">
        <f t="shared" si="82"/>
        <v>20</v>
      </c>
      <c r="G145" s="82">
        <f t="shared" si="82"/>
        <v>20</v>
      </c>
      <c r="H145" s="82">
        <f t="shared" si="82"/>
        <v>20</v>
      </c>
      <c r="I145" s="82">
        <f t="shared" si="82"/>
        <v>20</v>
      </c>
      <c r="J145" s="82">
        <f t="shared" si="82"/>
        <v>20</v>
      </c>
      <c r="K145" s="82">
        <f t="shared" si="82"/>
        <v>20</v>
      </c>
      <c r="L145" s="82">
        <f t="shared" si="82"/>
        <v>20</v>
      </c>
      <c r="M145" s="82">
        <f t="shared" si="82"/>
        <v>20</v>
      </c>
      <c r="N145" s="82">
        <f t="shared" si="82"/>
        <v>20</v>
      </c>
      <c r="O145" s="58">
        <f>(C145+D145+E145+F145+G145+H145+I145+J145+K145+L145+M145+N145)/12</f>
        <v>20</v>
      </c>
      <c r="P145" s="35">
        <f>C145</f>
        <v>20</v>
      </c>
      <c r="Q145" s="35">
        <f>P145</f>
        <v>20</v>
      </c>
      <c r="R145" s="35">
        <f aca="true" t="shared" si="83" ref="R145:AA145">Q145</f>
        <v>20</v>
      </c>
      <c r="S145" s="35">
        <f t="shared" si="83"/>
        <v>20</v>
      </c>
      <c r="T145" s="35">
        <f t="shared" si="83"/>
        <v>20</v>
      </c>
      <c r="U145" s="35">
        <f t="shared" si="83"/>
        <v>20</v>
      </c>
      <c r="V145" s="35">
        <f t="shared" si="83"/>
        <v>20</v>
      </c>
      <c r="W145" s="35">
        <f t="shared" si="83"/>
        <v>20</v>
      </c>
      <c r="X145" s="35">
        <f t="shared" si="83"/>
        <v>20</v>
      </c>
      <c r="Y145" s="35">
        <f t="shared" si="83"/>
        <v>20</v>
      </c>
      <c r="Z145" s="35">
        <f t="shared" si="83"/>
        <v>20</v>
      </c>
      <c r="AA145" s="208">
        <f t="shared" si="83"/>
        <v>20</v>
      </c>
      <c r="AB145" s="58">
        <f>(P145+Q145+R145+S145+T145+U145+V145+W145+X145+Y145+Z145+AA145)/12</f>
        <v>20</v>
      </c>
      <c r="AC145" s="200"/>
      <c r="AD145" s="200"/>
      <c r="AE145" s="200"/>
      <c r="AF145" s="200"/>
      <c r="AG145" s="200"/>
      <c r="AH145" s="200"/>
      <c r="AI145" s="200"/>
      <c r="AJ145" s="200"/>
      <c r="AK145" s="200"/>
      <c r="AL145" s="200"/>
      <c r="AM145" s="200"/>
      <c r="AN145" s="200"/>
      <c r="AO145" s="200"/>
      <c r="AP145" s="200"/>
      <c r="AQ145" s="200"/>
      <c r="AR145" s="200"/>
      <c r="AS145" s="200"/>
      <c r="AT145" s="200"/>
      <c r="AU145" s="200"/>
      <c r="AV145" s="200"/>
      <c r="AW145" s="200"/>
      <c r="AX145" s="200"/>
      <c r="AY145" s="200"/>
      <c r="AZ145" s="200"/>
      <c r="BA145" s="200"/>
      <c r="BB145" s="200"/>
      <c r="BC145" s="200"/>
      <c r="BD145" s="200"/>
      <c r="BE145" s="200"/>
      <c r="BF145" s="200"/>
      <c r="BG145" s="200"/>
      <c r="BH145" s="200"/>
      <c r="BI145" s="200"/>
      <c r="BJ145" s="200"/>
      <c r="BK145" s="200"/>
      <c r="BL145" s="200"/>
      <c r="BM145" s="200"/>
      <c r="BN145" s="200"/>
      <c r="BO145" s="200"/>
      <c r="BP145" s="200"/>
      <c r="BQ145" s="200"/>
      <c r="BR145" s="200"/>
      <c r="BS145" s="200"/>
      <c r="BT145" s="200"/>
      <c r="BU145" s="200"/>
    </row>
    <row r="146" spans="1:73" ht="15">
      <c r="A146" s="13" t="s">
        <v>15</v>
      </c>
      <c r="B146" s="37" t="s">
        <v>65</v>
      </c>
      <c r="C146" s="51">
        <f>пар!B64</f>
        <v>390</v>
      </c>
      <c r="D146" s="13">
        <f>$C$146</f>
        <v>390</v>
      </c>
      <c r="E146" s="13">
        <f aca="true" t="shared" si="84" ref="E146:AA146">$C$146</f>
        <v>390</v>
      </c>
      <c r="F146" s="13">
        <f t="shared" si="84"/>
        <v>390</v>
      </c>
      <c r="G146" s="13">
        <f t="shared" si="84"/>
        <v>390</v>
      </c>
      <c r="H146" s="13">
        <f t="shared" si="84"/>
        <v>390</v>
      </c>
      <c r="I146" s="13">
        <f t="shared" si="84"/>
        <v>390</v>
      </c>
      <c r="J146" s="13">
        <f t="shared" si="84"/>
        <v>390</v>
      </c>
      <c r="K146" s="13">
        <f t="shared" si="84"/>
        <v>390</v>
      </c>
      <c r="L146" s="13">
        <f t="shared" si="84"/>
        <v>390</v>
      </c>
      <c r="M146" s="13">
        <f t="shared" si="84"/>
        <v>390</v>
      </c>
      <c r="N146" s="13">
        <f t="shared" si="84"/>
        <v>390</v>
      </c>
      <c r="O146" s="13">
        <f t="shared" si="84"/>
        <v>390</v>
      </c>
      <c r="P146" s="13">
        <f t="shared" si="84"/>
        <v>390</v>
      </c>
      <c r="Q146" s="13">
        <f t="shared" si="84"/>
        <v>390</v>
      </c>
      <c r="R146" s="13">
        <f t="shared" si="84"/>
        <v>390</v>
      </c>
      <c r="S146" s="13">
        <f t="shared" si="84"/>
        <v>390</v>
      </c>
      <c r="T146" s="13">
        <f t="shared" si="84"/>
        <v>390</v>
      </c>
      <c r="U146" s="13">
        <f t="shared" si="84"/>
        <v>390</v>
      </c>
      <c r="V146" s="13">
        <f t="shared" si="84"/>
        <v>390</v>
      </c>
      <c r="W146" s="13">
        <f t="shared" si="84"/>
        <v>390</v>
      </c>
      <c r="X146" s="13">
        <f t="shared" si="84"/>
        <v>390</v>
      </c>
      <c r="Y146" s="13">
        <f t="shared" si="84"/>
        <v>390</v>
      </c>
      <c r="Z146" s="13">
        <f t="shared" si="84"/>
        <v>390</v>
      </c>
      <c r="AA146" s="13">
        <f t="shared" si="84"/>
        <v>390</v>
      </c>
      <c r="AB146" s="81">
        <f>SUM(C146:AA146)</f>
        <v>9750</v>
      </c>
      <c r="AC146" s="200"/>
      <c r="AD146" s="200"/>
      <c r="AE146" s="200"/>
      <c r="AF146" s="200"/>
      <c r="AG146" s="200"/>
      <c r="AH146" s="200"/>
      <c r="AI146" s="200"/>
      <c r="AJ146" s="200"/>
      <c r="AK146" s="200"/>
      <c r="AL146" s="200"/>
      <c r="AM146" s="200"/>
      <c r="AN146" s="200"/>
      <c r="AO146" s="200"/>
      <c r="AP146" s="200"/>
      <c r="AQ146" s="200"/>
      <c r="AR146" s="200"/>
      <c r="AS146" s="200"/>
      <c r="AT146" s="200"/>
      <c r="AU146" s="200"/>
      <c r="AV146" s="200"/>
      <c r="AW146" s="200"/>
      <c r="AX146" s="200"/>
      <c r="AY146" s="200"/>
      <c r="AZ146" s="200"/>
      <c r="BA146" s="200"/>
      <c r="BB146" s="200"/>
      <c r="BC146" s="200"/>
      <c r="BD146" s="200"/>
      <c r="BE146" s="200"/>
      <c r="BF146" s="200"/>
      <c r="BG146" s="200"/>
      <c r="BH146" s="200"/>
      <c r="BI146" s="200"/>
      <c r="BJ146" s="200"/>
      <c r="BK146" s="200"/>
      <c r="BL146" s="200"/>
      <c r="BM146" s="200"/>
      <c r="BN146" s="200"/>
      <c r="BO146" s="200"/>
      <c r="BP146" s="200"/>
      <c r="BQ146" s="200"/>
      <c r="BR146" s="200"/>
      <c r="BS146" s="200"/>
      <c r="BT146" s="200"/>
      <c r="BU146" s="200"/>
    </row>
    <row r="147" spans="1:73" ht="15">
      <c r="A147" s="13" t="s">
        <v>16</v>
      </c>
      <c r="B147" s="37" t="s">
        <v>65</v>
      </c>
      <c r="C147" s="51">
        <f>пар!B65</f>
        <v>2000</v>
      </c>
      <c r="D147" s="13">
        <v>2000</v>
      </c>
      <c r="E147" s="13">
        <v>2000</v>
      </c>
      <c r="F147" s="13">
        <v>2000</v>
      </c>
      <c r="G147" s="13">
        <v>2000</v>
      </c>
      <c r="H147" s="13">
        <v>2000</v>
      </c>
      <c r="I147" s="13">
        <v>2000</v>
      </c>
      <c r="J147" s="13">
        <v>2000</v>
      </c>
      <c r="K147" s="13">
        <v>2000</v>
      </c>
      <c r="L147" s="13">
        <v>2000</v>
      </c>
      <c r="M147" s="13">
        <v>2000</v>
      </c>
      <c r="N147" s="9">
        <v>2000</v>
      </c>
      <c r="O147" s="63">
        <f aca="true" t="shared" si="85" ref="O147:O153">SUM(C147:N147)</f>
        <v>24000</v>
      </c>
      <c r="P147" s="13">
        <v>4000</v>
      </c>
      <c r="Q147" s="13">
        <v>4000</v>
      </c>
      <c r="R147" s="13">
        <v>4000</v>
      </c>
      <c r="S147" s="13">
        <v>4000</v>
      </c>
      <c r="T147" s="13">
        <v>4000</v>
      </c>
      <c r="U147" s="13">
        <v>4000</v>
      </c>
      <c r="V147" s="13">
        <v>4000</v>
      </c>
      <c r="W147" s="13">
        <v>4000</v>
      </c>
      <c r="X147" s="13">
        <v>4000</v>
      </c>
      <c r="Y147" s="13">
        <v>4000</v>
      </c>
      <c r="Z147" s="13">
        <v>4000</v>
      </c>
      <c r="AA147" s="206">
        <v>4000</v>
      </c>
      <c r="AB147" s="81">
        <f>SUM(C147:AA147)</f>
        <v>96000</v>
      </c>
      <c r="AC147" s="200"/>
      <c r="AD147" s="200"/>
      <c r="AE147" s="200"/>
      <c r="AF147" s="200"/>
      <c r="AG147" s="200"/>
      <c r="AH147" s="200"/>
      <c r="AI147" s="200"/>
      <c r="AJ147" s="200"/>
      <c r="AK147" s="200"/>
      <c r="AL147" s="200"/>
      <c r="AM147" s="200"/>
      <c r="AN147" s="200"/>
      <c r="AO147" s="200"/>
      <c r="AP147" s="200"/>
      <c r="AQ147" s="200"/>
      <c r="AR147" s="200"/>
      <c r="AS147" s="200"/>
      <c r="AT147" s="200"/>
      <c r="AU147" s="200"/>
      <c r="AV147" s="200"/>
      <c r="AW147" s="200"/>
      <c r="AX147" s="200"/>
      <c r="AY147" s="200"/>
      <c r="AZ147" s="200"/>
      <c r="BA147" s="200"/>
      <c r="BB147" s="200"/>
      <c r="BC147" s="200"/>
      <c r="BD147" s="200"/>
      <c r="BE147" s="200"/>
      <c r="BF147" s="200"/>
      <c r="BG147" s="200"/>
      <c r="BH147" s="200"/>
      <c r="BI147" s="200"/>
      <c r="BJ147" s="200"/>
      <c r="BK147" s="200"/>
      <c r="BL147" s="200"/>
      <c r="BM147" s="200"/>
      <c r="BN147" s="200"/>
      <c r="BO147" s="200"/>
      <c r="BP147" s="200"/>
      <c r="BQ147" s="200"/>
      <c r="BR147" s="200"/>
      <c r="BS147" s="200"/>
      <c r="BT147" s="200"/>
      <c r="BU147" s="200"/>
    </row>
    <row r="148" spans="1:73" ht="15">
      <c r="A148" s="13" t="s">
        <v>17</v>
      </c>
      <c r="B148" s="37" t="s">
        <v>65</v>
      </c>
      <c r="C148" s="51">
        <f>пар!B66</f>
        <v>2000</v>
      </c>
      <c r="D148" s="13">
        <v>2000</v>
      </c>
      <c r="E148" s="13">
        <v>2000</v>
      </c>
      <c r="F148" s="13">
        <v>2000</v>
      </c>
      <c r="G148" s="13">
        <v>2000</v>
      </c>
      <c r="H148" s="13">
        <v>2000</v>
      </c>
      <c r="I148" s="13">
        <v>2000</v>
      </c>
      <c r="J148" s="13">
        <v>2000</v>
      </c>
      <c r="K148" s="13">
        <v>2000</v>
      </c>
      <c r="L148" s="13">
        <v>2000</v>
      </c>
      <c r="M148" s="13">
        <v>2000</v>
      </c>
      <c r="N148" s="9">
        <v>2000</v>
      </c>
      <c r="O148" s="63">
        <f t="shared" si="85"/>
        <v>24000</v>
      </c>
      <c r="P148" s="13">
        <v>4000</v>
      </c>
      <c r="Q148" s="13">
        <v>4000</v>
      </c>
      <c r="R148" s="13">
        <v>4000</v>
      </c>
      <c r="S148" s="13">
        <v>4000</v>
      </c>
      <c r="T148" s="13">
        <v>4000</v>
      </c>
      <c r="U148" s="13">
        <v>4000</v>
      </c>
      <c r="V148" s="13">
        <v>4000</v>
      </c>
      <c r="W148" s="13">
        <v>4000</v>
      </c>
      <c r="X148" s="13">
        <v>4000</v>
      </c>
      <c r="Y148" s="13">
        <v>4000</v>
      </c>
      <c r="Z148" s="13">
        <v>4000</v>
      </c>
      <c r="AA148" s="206">
        <v>4000</v>
      </c>
      <c r="AB148" s="81">
        <f>SUM(C148:AA148)</f>
        <v>96000</v>
      </c>
      <c r="AC148" s="200"/>
      <c r="AD148" s="200"/>
      <c r="AE148" s="200"/>
      <c r="AF148" s="200"/>
      <c r="AG148" s="200"/>
      <c r="AH148" s="200"/>
      <c r="AI148" s="200"/>
      <c r="AJ148" s="200"/>
      <c r="AK148" s="200"/>
      <c r="AL148" s="200"/>
      <c r="AM148" s="200"/>
      <c r="AN148" s="200"/>
      <c r="AO148" s="200"/>
      <c r="AP148" s="200"/>
      <c r="AQ148" s="200"/>
      <c r="AR148" s="200"/>
      <c r="AS148" s="200"/>
      <c r="AT148" s="200"/>
      <c r="AU148" s="200"/>
      <c r="AV148" s="200"/>
      <c r="AW148" s="200"/>
      <c r="AX148" s="200"/>
      <c r="AY148" s="200"/>
      <c r="AZ148" s="200"/>
      <c r="BA148" s="200"/>
      <c r="BB148" s="200"/>
      <c r="BC148" s="200"/>
      <c r="BD148" s="200"/>
      <c r="BE148" s="200"/>
      <c r="BF148" s="200"/>
      <c r="BG148" s="200"/>
      <c r="BH148" s="200"/>
      <c r="BI148" s="200"/>
      <c r="BJ148" s="200"/>
      <c r="BK148" s="200"/>
      <c r="BL148" s="200"/>
      <c r="BM148" s="200"/>
      <c r="BN148" s="200"/>
      <c r="BO148" s="200"/>
      <c r="BP148" s="200"/>
      <c r="BQ148" s="200"/>
      <c r="BR148" s="200"/>
      <c r="BS148" s="200"/>
      <c r="BT148" s="200"/>
      <c r="BU148" s="200"/>
    </row>
    <row r="149" spans="1:73" ht="15">
      <c r="A149" s="13" t="s">
        <v>18</v>
      </c>
      <c r="B149" s="37" t="s">
        <v>65</v>
      </c>
      <c r="C149" s="51">
        <f>пар!B67</f>
        <v>700</v>
      </c>
      <c r="D149" s="13">
        <v>700</v>
      </c>
      <c r="E149" s="13">
        <v>700</v>
      </c>
      <c r="F149" s="13">
        <v>700</v>
      </c>
      <c r="G149" s="13">
        <v>700</v>
      </c>
      <c r="H149" s="13">
        <v>700</v>
      </c>
      <c r="I149" s="13">
        <v>700</v>
      </c>
      <c r="J149" s="13">
        <v>700</v>
      </c>
      <c r="K149" s="13">
        <v>700</v>
      </c>
      <c r="L149" s="13">
        <v>700</v>
      </c>
      <c r="M149" s="13">
        <v>700</v>
      </c>
      <c r="N149" s="9">
        <v>700</v>
      </c>
      <c r="O149" s="63">
        <f t="shared" si="85"/>
        <v>8400</v>
      </c>
      <c r="P149" s="13">
        <v>1400</v>
      </c>
      <c r="Q149" s="13">
        <v>1400</v>
      </c>
      <c r="R149" s="13">
        <v>1400</v>
      </c>
      <c r="S149" s="13">
        <v>1400</v>
      </c>
      <c r="T149" s="13">
        <v>1400</v>
      </c>
      <c r="U149" s="13">
        <v>1400</v>
      </c>
      <c r="V149" s="13">
        <v>1400</v>
      </c>
      <c r="W149" s="13">
        <v>1400</v>
      </c>
      <c r="X149" s="13">
        <v>1400</v>
      </c>
      <c r="Y149" s="13">
        <v>1400</v>
      </c>
      <c r="Z149" s="13">
        <v>1400</v>
      </c>
      <c r="AA149" s="206">
        <v>1400</v>
      </c>
      <c r="AB149" s="81">
        <f>SUM(C149:AA149)</f>
        <v>33600</v>
      </c>
      <c r="AC149" s="200"/>
      <c r="AD149" s="200"/>
      <c r="AE149" s="200"/>
      <c r="AF149" s="200"/>
      <c r="AG149" s="200"/>
      <c r="AH149" s="200"/>
      <c r="AI149" s="200"/>
      <c r="AJ149" s="200"/>
      <c r="AK149" s="200"/>
      <c r="AL149" s="200"/>
      <c r="AM149" s="200"/>
      <c r="AN149" s="200"/>
      <c r="AO149" s="200"/>
      <c r="AP149" s="200"/>
      <c r="AQ149" s="200"/>
      <c r="AR149" s="200"/>
      <c r="AS149" s="200"/>
      <c r="AT149" s="200"/>
      <c r="AU149" s="200"/>
      <c r="AV149" s="200"/>
      <c r="AW149" s="200"/>
      <c r="AX149" s="200"/>
      <c r="AY149" s="200"/>
      <c r="AZ149" s="200"/>
      <c r="BA149" s="200"/>
      <c r="BB149" s="200"/>
      <c r="BC149" s="200"/>
      <c r="BD149" s="200"/>
      <c r="BE149" s="200"/>
      <c r="BF149" s="200"/>
      <c r="BG149" s="200"/>
      <c r="BH149" s="200"/>
      <c r="BI149" s="200"/>
      <c r="BJ149" s="200"/>
      <c r="BK149" s="200"/>
      <c r="BL149" s="200"/>
      <c r="BM149" s="200"/>
      <c r="BN149" s="200"/>
      <c r="BO149" s="200"/>
      <c r="BP149" s="200"/>
      <c r="BQ149" s="200"/>
      <c r="BR149" s="200"/>
      <c r="BS149" s="200"/>
      <c r="BT149" s="200"/>
      <c r="BU149" s="200"/>
    </row>
    <row r="150" spans="1:73" ht="15">
      <c r="A150" s="13" t="s">
        <v>143</v>
      </c>
      <c r="B150" s="37"/>
      <c r="C150" s="152">
        <f>пар!B68</f>
        <v>0.02</v>
      </c>
      <c r="D150" s="151">
        <f>C150</f>
        <v>0.02</v>
      </c>
      <c r="E150" s="151">
        <f aca="true" t="shared" si="86" ref="E150:AB150">D150</f>
        <v>0.02</v>
      </c>
      <c r="F150" s="151">
        <f t="shared" si="86"/>
        <v>0.02</v>
      </c>
      <c r="G150" s="151">
        <f t="shared" si="86"/>
        <v>0.02</v>
      </c>
      <c r="H150" s="151">
        <f t="shared" si="86"/>
        <v>0.02</v>
      </c>
      <c r="I150" s="151">
        <f t="shared" si="86"/>
        <v>0.02</v>
      </c>
      <c r="J150" s="151">
        <f t="shared" si="86"/>
        <v>0.02</v>
      </c>
      <c r="K150" s="151">
        <f t="shared" si="86"/>
        <v>0.02</v>
      </c>
      <c r="L150" s="151">
        <f t="shared" si="86"/>
        <v>0.02</v>
      </c>
      <c r="M150" s="151">
        <f t="shared" si="86"/>
        <v>0.02</v>
      </c>
      <c r="N150" s="151">
        <f t="shared" si="86"/>
        <v>0.02</v>
      </c>
      <c r="O150" s="151">
        <f t="shared" si="86"/>
        <v>0.02</v>
      </c>
      <c r="P150" s="151">
        <f t="shared" si="86"/>
        <v>0.02</v>
      </c>
      <c r="Q150" s="151">
        <f t="shared" si="86"/>
        <v>0.02</v>
      </c>
      <c r="R150" s="151">
        <f t="shared" si="86"/>
        <v>0.02</v>
      </c>
      <c r="S150" s="151">
        <f t="shared" si="86"/>
        <v>0.02</v>
      </c>
      <c r="T150" s="151">
        <f t="shared" si="86"/>
        <v>0.02</v>
      </c>
      <c r="U150" s="151">
        <f t="shared" si="86"/>
        <v>0.02</v>
      </c>
      <c r="V150" s="151">
        <f t="shared" si="86"/>
        <v>0.02</v>
      </c>
      <c r="W150" s="151">
        <f t="shared" si="86"/>
        <v>0.02</v>
      </c>
      <c r="X150" s="151">
        <f t="shared" si="86"/>
        <v>0.02</v>
      </c>
      <c r="Y150" s="151">
        <f t="shared" si="86"/>
        <v>0.02</v>
      </c>
      <c r="Z150" s="151">
        <f t="shared" si="86"/>
        <v>0.02</v>
      </c>
      <c r="AA150" s="210">
        <f t="shared" si="86"/>
        <v>0.02</v>
      </c>
      <c r="AB150" s="151">
        <f t="shared" si="86"/>
        <v>0.02</v>
      </c>
      <c r="AC150" s="200"/>
      <c r="AD150" s="200"/>
      <c r="AE150" s="200"/>
      <c r="AF150" s="200"/>
      <c r="AG150" s="200"/>
      <c r="AH150" s="200"/>
      <c r="AI150" s="200"/>
      <c r="AJ150" s="200"/>
      <c r="AK150" s="200"/>
      <c r="AL150" s="200"/>
      <c r="AM150" s="200"/>
      <c r="AN150" s="200"/>
      <c r="AO150" s="200"/>
      <c r="AP150" s="200"/>
      <c r="AQ150" s="200"/>
      <c r="AR150" s="200"/>
      <c r="AS150" s="200"/>
      <c r="AT150" s="200"/>
      <c r="AU150" s="200"/>
      <c r="AV150" s="200"/>
      <c r="AW150" s="200"/>
      <c r="AX150" s="200"/>
      <c r="AY150" s="200"/>
      <c r="AZ150" s="200"/>
      <c r="BA150" s="200"/>
      <c r="BB150" s="200"/>
      <c r="BC150" s="200"/>
      <c r="BD150" s="200"/>
      <c r="BE150" s="200"/>
      <c r="BF150" s="200"/>
      <c r="BG150" s="200"/>
      <c r="BH150" s="200"/>
      <c r="BI150" s="200"/>
      <c r="BJ150" s="200"/>
      <c r="BK150" s="200"/>
      <c r="BL150" s="200"/>
      <c r="BM150" s="200"/>
      <c r="BN150" s="200"/>
      <c r="BO150" s="200"/>
      <c r="BP150" s="200"/>
      <c r="BQ150" s="200"/>
      <c r="BR150" s="200"/>
      <c r="BS150" s="200"/>
      <c r="BT150" s="200"/>
      <c r="BU150" s="200"/>
    </row>
    <row r="151" spans="1:73" ht="15">
      <c r="A151" s="13" t="s">
        <v>144</v>
      </c>
      <c r="B151" s="37" t="s">
        <v>65</v>
      </c>
      <c r="C151" s="13">
        <f>700+C41*0.25*C150</f>
        <v>1891.5375000000001</v>
      </c>
      <c r="D151" s="13">
        <f aca="true" t="shared" si="87" ref="D151:AB151">700+D41*0.25*D150</f>
        <v>2374.42375</v>
      </c>
      <c r="E151" s="13">
        <f t="shared" si="87"/>
        <v>2774.5295</v>
      </c>
      <c r="F151" s="13">
        <f t="shared" si="87"/>
        <v>2610.2227500000004</v>
      </c>
      <c r="G151" s="13">
        <f t="shared" si="87"/>
        <v>2778.29225</v>
      </c>
      <c r="H151" s="13">
        <f t="shared" si="87"/>
        <v>2985.2435</v>
      </c>
      <c r="I151" s="13">
        <f t="shared" si="87"/>
        <v>3192.1947499999997</v>
      </c>
      <c r="J151" s="13">
        <f t="shared" si="87"/>
        <v>3399.1459999999997</v>
      </c>
      <c r="K151" s="13">
        <f t="shared" si="87"/>
        <v>3606.09725</v>
      </c>
      <c r="L151" s="13">
        <f t="shared" si="87"/>
        <v>3813.0485</v>
      </c>
      <c r="M151" s="13">
        <f t="shared" si="87"/>
        <v>4019.99975</v>
      </c>
      <c r="N151" s="13">
        <f t="shared" si="87"/>
        <v>4226.951</v>
      </c>
      <c r="O151" s="13">
        <f t="shared" si="87"/>
        <v>29971.686500000003</v>
      </c>
      <c r="P151" s="13">
        <f t="shared" si="87"/>
        <v>4433.902249999999</v>
      </c>
      <c r="Q151" s="13">
        <f t="shared" si="87"/>
        <v>4640.853499999999</v>
      </c>
      <c r="R151" s="13">
        <f t="shared" si="87"/>
        <v>4847.80475</v>
      </c>
      <c r="S151" s="13">
        <f t="shared" si="87"/>
        <v>5054.755999999999</v>
      </c>
      <c r="T151" s="13">
        <f t="shared" si="87"/>
        <v>5261.7072499999995</v>
      </c>
      <c r="U151" s="13">
        <f t="shared" si="87"/>
        <v>5468.6585</v>
      </c>
      <c r="V151" s="13">
        <f t="shared" si="87"/>
        <v>5675.60975</v>
      </c>
      <c r="W151" s="13">
        <f t="shared" si="87"/>
        <v>5882.561</v>
      </c>
      <c r="X151" s="13">
        <f t="shared" si="87"/>
        <v>6089.51225</v>
      </c>
      <c r="Y151" s="13">
        <f t="shared" si="87"/>
        <v>6296.4635</v>
      </c>
      <c r="Z151" s="13">
        <f t="shared" si="87"/>
        <v>6503.41475</v>
      </c>
      <c r="AA151" s="206">
        <f t="shared" si="87"/>
        <v>6710.366</v>
      </c>
      <c r="AB151" s="13">
        <f t="shared" si="87"/>
        <v>117708.98249999997</v>
      </c>
      <c r="AC151" s="200"/>
      <c r="AD151" s="200"/>
      <c r="AE151" s="200"/>
      <c r="AF151" s="200"/>
      <c r="AG151" s="200"/>
      <c r="AH151" s="200"/>
      <c r="AI151" s="200"/>
      <c r="AJ151" s="200"/>
      <c r="AK151" s="200"/>
      <c r="AL151" s="200"/>
      <c r="AM151" s="200"/>
      <c r="AN151" s="200"/>
      <c r="AO151" s="200"/>
      <c r="AP151" s="200"/>
      <c r="AQ151" s="200"/>
      <c r="AR151" s="200"/>
      <c r="AS151" s="200"/>
      <c r="AT151" s="200"/>
      <c r="AU151" s="200"/>
      <c r="AV151" s="200"/>
      <c r="AW151" s="200"/>
      <c r="AX151" s="200"/>
      <c r="AY151" s="200"/>
      <c r="AZ151" s="200"/>
      <c r="BA151" s="200"/>
      <c r="BB151" s="200"/>
      <c r="BC151" s="200"/>
      <c r="BD151" s="200"/>
      <c r="BE151" s="200"/>
      <c r="BF151" s="200"/>
      <c r="BG151" s="200"/>
      <c r="BH151" s="200"/>
      <c r="BI151" s="200"/>
      <c r="BJ151" s="200"/>
      <c r="BK151" s="200"/>
      <c r="BL151" s="200"/>
      <c r="BM151" s="200"/>
      <c r="BN151" s="200"/>
      <c r="BO151" s="200"/>
      <c r="BP151" s="200"/>
      <c r="BQ151" s="200"/>
      <c r="BR151" s="200"/>
      <c r="BS151" s="200"/>
      <c r="BT151" s="200"/>
      <c r="BU151" s="200"/>
    </row>
    <row r="152" spans="1:73" s="203" customFormat="1" ht="15">
      <c r="A152" s="174" t="s">
        <v>88</v>
      </c>
      <c r="B152" s="227" t="s">
        <v>65</v>
      </c>
      <c r="C152" s="174">
        <f>C153*C154</f>
        <v>6000</v>
      </c>
      <c r="D152" s="174">
        <f aca="true" t="shared" si="88" ref="D152:N152">D153*D154</f>
        <v>6000</v>
      </c>
      <c r="E152" s="174">
        <f t="shared" si="88"/>
        <v>6000</v>
      </c>
      <c r="F152" s="174">
        <f t="shared" si="88"/>
        <v>6000</v>
      </c>
      <c r="G152" s="174">
        <f t="shared" si="88"/>
        <v>6000</v>
      </c>
      <c r="H152" s="174">
        <f t="shared" si="88"/>
        <v>6000</v>
      </c>
      <c r="I152" s="174">
        <f t="shared" si="88"/>
        <v>6000</v>
      </c>
      <c r="J152" s="174">
        <f t="shared" si="88"/>
        <v>6000</v>
      </c>
      <c r="K152" s="174">
        <f t="shared" si="88"/>
        <v>6000</v>
      </c>
      <c r="L152" s="174">
        <f t="shared" si="88"/>
        <v>6000</v>
      </c>
      <c r="M152" s="174">
        <f t="shared" si="88"/>
        <v>6000</v>
      </c>
      <c r="N152" s="174">
        <f t="shared" si="88"/>
        <v>6000</v>
      </c>
      <c r="O152" s="174">
        <f t="shared" si="85"/>
        <v>72000</v>
      </c>
      <c r="P152" s="174">
        <f aca="true" t="shared" si="89" ref="P152:AA152">P153*P154</f>
        <v>6000</v>
      </c>
      <c r="Q152" s="174">
        <f t="shared" si="89"/>
        <v>6000</v>
      </c>
      <c r="R152" s="174">
        <f t="shared" si="89"/>
        <v>6000</v>
      </c>
      <c r="S152" s="174">
        <f t="shared" si="89"/>
        <v>6000</v>
      </c>
      <c r="T152" s="174">
        <f t="shared" si="89"/>
        <v>6000</v>
      </c>
      <c r="U152" s="174">
        <f t="shared" si="89"/>
        <v>6000</v>
      </c>
      <c r="V152" s="174">
        <f t="shared" si="89"/>
        <v>6000</v>
      </c>
      <c r="W152" s="174">
        <f t="shared" si="89"/>
        <v>6000</v>
      </c>
      <c r="X152" s="174">
        <f t="shared" si="89"/>
        <v>6000</v>
      </c>
      <c r="Y152" s="174">
        <f t="shared" si="89"/>
        <v>6000</v>
      </c>
      <c r="Z152" s="174">
        <f t="shared" si="89"/>
        <v>6000</v>
      </c>
      <c r="AA152" s="178">
        <f t="shared" si="89"/>
        <v>6000</v>
      </c>
      <c r="AB152" s="174">
        <f>SUM(P152:AA152)</f>
        <v>72000</v>
      </c>
      <c r="AC152" s="200"/>
      <c r="AD152" s="200"/>
      <c r="AE152" s="200"/>
      <c r="AF152" s="200"/>
      <c r="AG152" s="200"/>
      <c r="AH152" s="200"/>
      <c r="AI152" s="200"/>
      <c r="AJ152" s="200"/>
      <c r="AK152" s="200"/>
      <c r="AL152" s="200"/>
      <c r="AM152" s="200"/>
      <c r="AN152" s="200"/>
      <c r="AO152" s="200"/>
      <c r="AP152" s="200"/>
      <c r="AQ152" s="200"/>
      <c r="AR152" s="200"/>
      <c r="AS152" s="200"/>
      <c r="AT152" s="200"/>
      <c r="AU152" s="200"/>
      <c r="AV152" s="200"/>
      <c r="AW152" s="200"/>
      <c r="AX152" s="200"/>
      <c r="AY152" s="200"/>
      <c r="AZ152" s="200"/>
      <c r="BA152" s="200"/>
      <c r="BB152" s="200"/>
      <c r="BC152" s="200"/>
      <c r="BD152" s="200"/>
      <c r="BE152" s="200"/>
      <c r="BF152" s="200"/>
      <c r="BG152" s="200"/>
      <c r="BH152" s="200"/>
      <c r="BI152" s="200"/>
      <c r="BJ152" s="200"/>
      <c r="BK152" s="200"/>
      <c r="BL152" s="200"/>
      <c r="BM152" s="200"/>
      <c r="BN152" s="200"/>
      <c r="BO152" s="200"/>
      <c r="BP152" s="200"/>
      <c r="BQ152" s="200"/>
      <c r="BR152" s="200"/>
      <c r="BS152" s="200"/>
      <c r="BT152" s="200"/>
      <c r="BU152" s="200"/>
    </row>
    <row r="153" spans="1:73" s="203" customFormat="1" ht="15">
      <c r="A153" s="174" t="s">
        <v>89</v>
      </c>
      <c r="B153" s="227" t="s">
        <v>93</v>
      </c>
      <c r="C153" s="229">
        <f>пар!B70</f>
        <v>4</v>
      </c>
      <c r="D153" s="215">
        <f>C153</f>
        <v>4</v>
      </c>
      <c r="E153" s="215">
        <f aca="true" t="shared" si="90" ref="E153:N156">D153</f>
        <v>4</v>
      </c>
      <c r="F153" s="215">
        <f t="shared" si="90"/>
        <v>4</v>
      </c>
      <c r="G153" s="215">
        <f>F153</f>
        <v>4</v>
      </c>
      <c r="H153" s="215">
        <f t="shared" si="90"/>
        <v>4</v>
      </c>
      <c r="I153" s="215">
        <f t="shared" si="90"/>
        <v>4</v>
      </c>
      <c r="J153" s="215">
        <f t="shared" si="90"/>
        <v>4</v>
      </c>
      <c r="K153" s="215">
        <f t="shared" si="90"/>
        <v>4</v>
      </c>
      <c r="L153" s="215">
        <f t="shared" si="90"/>
        <v>4</v>
      </c>
      <c r="M153" s="215">
        <f t="shared" si="90"/>
        <v>4</v>
      </c>
      <c r="N153" s="215">
        <f t="shared" si="90"/>
        <v>4</v>
      </c>
      <c r="O153" s="230">
        <f t="shared" si="85"/>
        <v>48</v>
      </c>
      <c r="P153" s="230">
        <f>C153</f>
        <v>4</v>
      </c>
      <c r="Q153" s="230">
        <f>P153</f>
        <v>4</v>
      </c>
      <c r="R153" s="230">
        <f aca="true" t="shared" si="91" ref="R153:AA153">Q153</f>
        <v>4</v>
      </c>
      <c r="S153" s="230">
        <f t="shared" si="91"/>
        <v>4</v>
      </c>
      <c r="T153" s="230">
        <f t="shared" si="91"/>
        <v>4</v>
      </c>
      <c r="U153" s="230">
        <f t="shared" si="91"/>
        <v>4</v>
      </c>
      <c r="V153" s="230">
        <f t="shared" si="91"/>
        <v>4</v>
      </c>
      <c r="W153" s="230">
        <f t="shared" si="91"/>
        <v>4</v>
      </c>
      <c r="X153" s="230">
        <f t="shared" si="91"/>
        <v>4</v>
      </c>
      <c r="Y153" s="230">
        <f t="shared" si="91"/>
        <v>4</v>
      </c>
      <c r="Z153" s="230">
        <f t="shared" si="91"/>
        <v>4</v>
      </c>
      <c r="AA153" s="231">
        <f t="shared" si="91"/>
        <v>4</v>
      </c>
      <c r="AB153" s="230">
        <f>SUM(P153:AA153)</f>
        <v>48</v>
      </c>
      <c r="AC153" s="200"/>
      <c r="AD153" s="200"/>
      <c r="AE153" s="200"/>
      <c r="AF153" s="200"/>
      <c r="AG153" s="200"/>
      <c r="AH153" s="200"/>
      <c r="AI153" s="200"/>
      <c r="AJ153" s="200"/>
      <c r="AK153" s="200"/>
      <c r="AL153" s="200"/>
      <c r="AM153" s="200"/>
      <c r="AN153" s="200"/>
      <c r="AO153" s="200"/>
      <c r="AP153" s="200"/>
      <c r="AQ153" s="200"/>
      <c r="AR153" s="200"/>
      <c r="AS153" s="200"/>
      <c r="AT153" s="200"/>
      <c r="AU153" s="200"/>
      <c r="AV153" s="200"/>
      <c r="AW153" s="200"/>
      <c r="AX153" s="200"/>
      <c r="AY153" s="200"/>
      <c r="AZ153" s="200"/>
      <c r="BA153" s="200"/>
      <c r="BB153" s="200"/>
      <c r="BC153" s="200"/>
      <c r="BD153" s="200"/>
      <c r="BE153" s="200"/>
      <c r="BF153" s="200"/>
      <c r="BG153" s="200"/>
      <c r="BH153" s="200"/>
      <c r="BI153" s="200"/>
      <c r="BJ153" s="200"/>
      <c r="BK153" s="200"/>
      <c r="BL153" s="200"/>
      <c r="BM153" s="200"/>
      <c r="BN153" s="200"/>
      <c r="BO153" s="200"/>
      <c r="BP153" s="200"/>
      <c r="BQ153" s="200"/>
      <c r="BR153" s="200"/>
      <c r="BS153" s="200"/>
      <c r="BT153" s="200"/>
      <c r="BU153" s="200"/>
    </row>
    <row r="154" spans="1:73" s="203" customFormat="1" ht="15">
      <c r="A154" s="174" t="s">
        <v>90</v>
      </c>
      <c r="B154" s="227" t="s">
        <v>65</v>
      </c>
      <c r="C154" s="232">
        <f>пар!B26</f>
        <v>1500</v>
      </c>
      <c r="D154" s="215">
        <f>C154</f>
        <v>1500</v>
      </c>
      <c r="E154" s="215">
        <f t="shared" si="90"/>
        <v>1500</v>
      </c>
      <c r="F154" s="215">
        <f t="shared" si="90"/>
        <v>1500</v>
      </c>
      <c r="G154" s="215">
        <f t="shared" si="90"/>
        <v>1500</v>
      </c>
      <c r="H154" s="215">
        <f t="shared" si="90"/>
        <v>1500</v>
      </c>
      <c r="I154" s="215">
        <f t="shared" si="90"/>
        <v>1500</v>
      </c>
      <c r="J154" s="215">
        <f t="shared" si="90"/>
        <v>1500</v>
      </c>
      <c r="K154" s="215">
        <f t="shared" si="90"/>
        <v>1500</v>
      </c>
      <c r="L154" s="215">
        <f t="shared" si="90"/>
        <v>1500</v>
      </c>
      <c r="M154" s="215">
        <f t="shared" si="90"/>
        <v>1500</v>
      </c>
      <c r="N154" s="215">
        <f t="shared" si="90"/>
        <v>1500</v>
      </c>
      <c r="O154" s="233">
        <f>(C154+D154+E154+F154+G154+H154+I154+J154+K154+L154+M154+N154)/12</f>
        <v>1500</v>
      </c>
      <c r="P154" s="230">
        <f>C154</f>
        <v>1500</v>
      </c>
      <c r="Q154" s="230">
        <f>P154</f>
        <v>1500</v>
      </c>
      <c r="R154" s="230">
        <f aca="true" t="shared" si="92" ref="R154:AA156">Q154</f>
        <v>1500</v>
      </c>
      <c r="S154" s="230">
        <f t="shared" si="92"/>
        <v>1500</v>
      </c>
      <c r="T154" s="230">
        <f t="shared" si="92"/>
        <v>1500</v>
      </c>
      <c r="U154" s="230">
        <f t="shared" si="92"/>
        <v>1500</v>
      </c>
      <c r="V154" s="230">
        <f t="shared" si="92"/>
        <v>1500</v>
      </c>
      <c r="W154" s="230">
        <f t="shared" si="92"/>
        <v>1500</v>
      </c>
      <c r="X154" s="230">
        <f t="shared" si="92"/>
        <v>1500</v>
      </c>
      <c r="Y154" s="230">
        <f t="shared" si="92"/>
        <v>1500</v>
      </c>
      <c r="Z154" s="230">
        <f t="shared" si="92"/>
        <v>1500</v>
      </c>
      <c r="AA154" s="231">
        <f t="shared" si="92"/>
        <v>1500</v>
      </c>
      <c r="AB154" s="233">
        <f>(P154+Q154+R154+S154+T154+U154+V154+W154+X154+Y154+Z154+AA154)/12</f>
        <v>1500</v>
      </c>
      <c r="AC154" s="200"/>
      <c r="AD154" s="200"/>
      <c r="AE154" s="200"/>
      <c r="AF154" s="200"/>
      <c r="AG154" s="200"/>
      <c r="AH154" s="200"/>
      <c r="AI154" s="200"/>
      <c r="AJ154" s="200"/>
      <c r="AK154" s="200"/>
      <c r="AL154" s="200"/>
      <c r="AM154" s="200"/>
      <c r="AN154" s="200"/>
      <c r="AO154" s="200"/>
      <c r="AP154" s="200"/>
      <c r="AQ154" s="200"/>
      <c r="AR154" s="200"/>
      <c r="AS154" s="200"/>
      <c r="AT154" s="200"/>
      <c r="AU154" s="200"/>
      <c r="AV154" s="200"/>
      <c r="AW154" s="200"/>
      <c r="AX154" s="200"/>
      <c r="AY154" s="200"/>
      <c r="AZ154" s="200"/>
      <c r="BA154" s="200"/>
      <c r="BB154" s="200"/>
      <c r="BC154" s="200"/>
      <c r="BD154" s="200"/>
      <c r="BE154" s="200"/>
      <c r="BF154" s="200"/>
      <c r="BG154" s="200"/>
      <c r="BH154" s="200"/>
      <c r="BI154" s="200"/>
      <c r="BJ154" s="200"/>
      <c r="BK154" s="200"/>
      <c r="BL154" s="200"/>
      <c r="BM154" s="200"/>
      <c r="BN154" s="200"/>
      <c r="BO154" s="200"/>
      <c r="BP154" s="200"/>
      <c r="BQ154" s="200"/>
      <c r="BR154" s="200"/>
      <c r="BS154" s="200"/>
      <c r="BT154" s="200"/>
      <c r="BU154" s="200"/>
    </row>
    <row r="155" spans="1:73" ht="30">
      <c r="A155" s="154" t="str">
        <f>пар!A71</f>
        <v>Рекламные расходы % от плана в первые 3 месяца работы магазина</v>
      </c>
      <c r="B155" s="84"/>
      <c r="C155" s="165">
        <f>пар!B71</f>
        <v>0.05</v>
      </c>
      <c r="D155" s="155">
        <f>C155</f>
        <v>0.05</v>
      </c>
      <c r="E155" s="155">
        <f t="shared" si="90"/>
        <v>0.05</v>
      </c>
      <c r="F155" s="83"/>
      <c r="G155" s="83"/>
      <c r="H155" s="83"/>
      <c r="I155" s="83"/>
      <c r="J155" s="83"/>
      <c r="K155" s="83"/>
      <c r="L155" s="83"/>
      <c r="M155" s="83"/>
      <c r="N155" s="156"/>
      <c r="O155" s="161"/>
      <c r="P155" s="158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156"/>
      <c r="AB155" s="161"/>
      <c r="AC155" s="200"/>
      <c r="AD155" s="200"/>
      <c r="AE155" s="200"/>
      <c r="AF155" s="200"/>
      <c r="AG155" s="200"/>
      <c r="AH155" s="200"/>
      <c r="AI155" s="200"/>
      <c r="AJ155" s="200"/>
      <c r="AK155" s="200"/>
      <c r="AL155" s="200"/>
      <c r="AM155" s="200"/>
      <c r="AN155" s="200"/>
      <c r="AO155" s="200"/>
      <c r="AP155" s="200"/>
      <c r="AQ155" s="200"/>
      <c r="AR155" s="200"/>
      <c r="AS155" s="200"/>
      <c r="AT155" s="200"/>
      <c r="AU155" s="200"/>
      <c r="AV155" s="200"/>
      <c r="AW155" s="200"/>
      <c r="AX155" s="200"/>
      <c r="AY155" s="200"/>
      <c r="AZ155" s="200"/>
      <c r="BA155" s="200"/>
      <c r="BB155" s="200"/>
      <c r="BC155" s="200"/>
      <c r="BD155" s="200"/>
      <c r="BE155" s="200"/>
      <c r="BF155" s="200"/>
      <c r="BG155" s="200"/>
      <c r="BH155" s="200"/>
      <c r="BI155" s="200"/>
      <c r="BJ155" s="200"/>
      <c r="BK155" s="200"/>
      <c r="BL155" s="200"/>
      <c r="BM155" s="200"/>
      <c r="BN155" s="200"/>
      <c r="BO155" s="200"/>
      <c r="BP155" s="200"/>
      <c r="BQ155" s="200"/>
      <c r="BR155" s="200"/>
      <c r="BS155" s="200"/>
      <c r="BT155" s="200"/>
      <c r="BU155" s="200"/>
    </row>
    <row r="156" spans="1:73" ht="43.5" customHeight="1">
      <c r="A156" s="154" t="str">
        <f>пар!A72</f>
        <v>Рекламные расходы % от плана с 4-го месяца работы магазина (текущий)</v>
      </c>
      <c r="B156" s="84"/>
      <c r="C156" s="153"/>
      <c r="D156" s="83"/>
      <c r="E156" s="83"/>
      <c r="F156" s="164">
        <f>пар!B72</f>
        <v>0.02</v>
      </c>
      <c r="G156" s="155">
        <f>F156</f>
        <v>0.02</v>
      </c>
      <c r="H156" s="155">
        <f t="shared" si="90"/>
        <v>0.02</v>
      </c>
      <c r="I156" s="155">
        <f t="shared" si="90"/>
        <v>0.02</v>
      </c>
      <c r="J156" s="155">
        <f t="shared" si="90"/>
        <v>0.02</v>
      </c>
      <c r="K156" s="155">
        <f t="shared" si="90"/>
        <v>0.02</v>
      </c>
      <c r="L156" s="155">
        <f t="shared" si="90"/>
        <v>0.02</v>
      </c>
      <c r="M156" s="155">
        <f t="shared" si="90"/>
        <v>0.02</v>
      </c>
      <c r="N156" s="157">
        <f t="shared" si="90"/>
        <v>0.02</v>
      </c>
      <c r="O156" s="162">
        <f>O157/O41</f>
        <v>0.025063415888250916</v>
      </c>
      <c r="P156" s="159">
        <f>F156</f>
        <v>0.02</v>
      </c>
      <c r="Q156" s="155">
        <f>P156</f>
        <v>0.02</v>
      </c>
      <c r="R156" s="155">
        <f t="shared" si="92"/>
        <v>0.02</v>
      </c>
      <c r="S156" s="155">
        <f t="shared" si="92"/>
        <v>0.02</v>
      </c>
      <c r="T156" s="155">
        <f t="shared" si="92"/>
        <v>0.02</v>
      </c>
      <c r="U156" s="155">
        <f t="shared" si="92"/>
        <v>0.02</v>
      </c>
      <c r="V156" s="155">
        <f t="shared" si="92"/>
        <v>0.02</v>
      </c>
      <c r="W156" s="155">
        <f t="shared" si="92"/>
        <v>0.02</v>
      </c>
      <c r="X156" s="155">
        <f t="shared" si="92"/>
        <v>0.02</v>
      </c>
      <c r="Y156" s="155">
        <f t="shared" si="92"/>
        <v>0.02</v>
      </c>
      <c r="Z156" s="155">
        <f t="shared" si="92"/>
        <v>0.02</v>
      </c>
      <c r="AA156" s="157">
        <f t="shared" si="92"/>
        <v>0.02</v>
      </c>
      <c r="AB156" s="162">
        <f>AA156</f>
        <v>0.02</v>
      </c>
      <c r="AC156" s="200"/>
      <c r="AD156" s="200"/>
      <c r="AE156" s="200"/>
      <c r="AF156" s="200"/>
      <c r="AG156" s="200"/>
      <c r="AH156" s="200"/>
      <c r="AI156" s="200"/>
      <c r="AJ156" s="200"/>
      <c r="AK156" s="200"/>
      <c r="AL156" s="200"/>
      <c r="AM156" s="200"/>
      <c r="AN156" s="200"/>
      <c r="AO156" s="200"/>
      <c r="AP156" s="200"/>
      <c r="AQ156" s="200"/>
      <c r="AR156" s="200"/>
      <c r="AS156" s="200"/>
      <c r="AT156" s="200"/>
      <c r="AU156" s="200"/>
      <c r="AV156" s="200"/>
      <c r="AW156" s="200"/>
      <c r="AX156" s="200"/>
      <c r="AY156" s="200"/>
      <c r="AZ156" s="200"/>
      <c r="BA156" s="200"/>
      <c r="BB156" s="200"/>
      <c r="BC156" s="200"/>
      <c r="BD156" s="200"/>
      <c r="BE156" s="200"/>
      <c r="BF156" s="200"/>
      <c r="BG156" s="200"/>
      <c r="BH156" s="200"/>
      <c r="BI156" s="200"/>
      <c r="BJ156" s="200"/>
      <c r="BK156" s="200"/>
      <c r="BL156" s="200"/>
      <c r="BM156" s="200"/>
      <c r="BN156" s="200"/>
      <c r="BO156" s="200"/>
      <c r="BP156" s="200"/>
      <c r="BQ156" s="200"/>
      <c r="BR156" s="200"/>
      <c r="BS156" s="200"/>
      <c r="BT156" s="200"/>
      <c r="BU156" s="200"/>
    </row>
    <row r="157" spans="1:73" ht="15">
      <c r="A157" s="13" t="s">
        <v>19</v>
      </c>
      <c r="B157" s="37" t="s">
        <v>65</v>
      </c>
      <c r="C157" s="13">
        <f>C41*C155</f>
        <v>11915.375</v>
      </c>
      <c r="D157" s="13">
        <f>D41*0.05</f>
        <v>16744.2375</v>
      </c>
      <c r="E157" s="13">
        <f>E41*0.05</f>
        <v>20745.295000000002</v>
      </c>
      <c r="F157" s="13">
        <f>F41*F156</f>
        <v>7640.891000000001</v>
      </c>
      <c r="G157" s="13">
        <f aca="true" t="shared" si="93" ref="G157:N157">G41*G156</f>
        <v>8313.169</v>
      </c>
      <c r="H157" s="13">
        <f t="shared" si="93"/>
        <v>9140.974</v>
      </c>
      <c r="I157" s="13">
        <f t="shared" si="93"/>
        <v>9968.778999999999</v>
      </c>
      <c r="J157" s="13">
        <f t="shared" si="93"/>
        <v>10796.583999999999</v>
      </c>
      <c r="K157" s="13">
        <f t="shared" si="93"/>
        <v>11624.389</v>
      </c>
      <c r="L157" s="13">
        <f t="shared" si="93"/>
        <v>12452.194</v>
      </c>
      <c r="M157" s="13">
        <f t="shared" si="93"/>
        <v>13279.999</v>
      </c>
      <c r="N157" s="13">
        <f t="shared" si="93"/>
        <v>14107.804</v>
      </c>
      <c r="O157" s="160">
        <f>SUM(C157:N157)</f>
        <v>146729.6905</v>
      </c>
      <c r="P157" s="13">
        <f aca="true" t="shared" si="94" ref="P157:AA157">P41*P156</f>
        <v>14935.608999999999</v>
      </c>
      <c r="Q157" s="13">
        <f t="shared" si="94"/>
        <v>15763.413999999999</v>
      </c>
      <c r="R157" s="13">
        <f t="shared" si="94"/>
        <v>16591.219</v>
      </c>
      <c r="S157" s="13">
        <f t="shared" si="94"/>
        <v>17419.023999999998</v>
      </c>
      <c r="T157" s="13">
        <f t="shared" si="94"/>
        <v>18246.828999999998</v>
      </c>
      <c r="U157" s="13">
        <f t="shared" si="94"/>
        <v>19074.634</v>
      </c>
      <c r="V157" s="13">
        <f t="shared" si="94"/>
        <v>19902.439</v>
      </c>
      <c r="W157" s="13">
        <f t="shared" si="94"/>
        <v>20730.244</v>
      </c>
      <c r="X157" s="13">
        <f t="shared" si="94"/>
        <v>21558.049</v>
      </c>
      <c r="Y157" s="13">
        <f t="shared" si="94"/>
        <v>22385.854</v>
      </c>
      <c r="Z157" s="13">
        <f t="shared" si="94"/>
        <v>23213.659</v>
      </c>
      <c r="AA157" s="206">
        <f t="shared" si="94"/>
        <v>24041.464</v>
      </c>
      <c r="AB157" s="163">
        <f>SUM(C157:AA157)</f>
        <v>527321.8189999999</v>
      </c>
      <c r="AC157" s="200"/>
      <c r="AD157" s="200"/>
      <c r="AE157" s="200"/>
      <c r="AF157" s="200"/>
      <c r="AG157" s="200"/>
      <c r="AH157" s="200"/>
      <c r="AI157" s="200"/>
      <c r="AJ157" s="200"/>
      <c r="AK157" s="200"/>
      <c r="AL157" s="200"/>
      <c r="AM157" s="200"/>
      <c r="AN157" s="200"/>
      <c r="AO157" s="200"/>
      <c r="AP157" s="200"/>
      <c r="AQ157" s="200"/>
      <c r="AR157" s="200"/>
      <c r="AS157" s="200"/>
      <c r="AT157" s="200"/>
      <c r="AU157" s="200"/>
      <c r="AV157" s="200"/>
      <c r="AW157" s="200"/>
      <c r="AX157" s="200"/>
      <c r="AY157" s="200"/>
      <c r="AZ157" s="200"/>
      <c r="BA157" s="200"/>
      <c r="BB157" s="200"/>
      <c r="BC157" s="200"/>
      <c r="BD157" s="200"/>
      <c r="BE157" s="200"/>
      <c r="BF157" s="200"/>
      <c r="BG157" s="200"/>
      <c r="BH157" s="200"/>
      <c r="BI157" s="200"/>
      <c r="BJ157" s="200"/>
      <c r="BK157" s="200"/>
      <c r="BL157" s="200"/>
      <c r="BM157" s="200"/>
      <c r="BN157" s="200"/>
      <c r="BO157" s="200"/>
      <c r="BP157" s="200"/>
      <c r="BQ157" s="200"/>
      <c r="BR157" s="200"/>
      <c r="BS157" s="200"/>
      <c r="BT157" s="200"/>
      <c r="BU157" s="200"/>
    </row>
    <row r="158" spans="1:73" ht="15">
      <c r="A158" s="13" t="s">
        <v>20</v>
      </c>
      <c r="B158" s="37" t="s">
        <v>65</v>
      </c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O158" s="63">
        <f>SUM(C158:N158)</f>
        <v>0</v>
      </c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206"/>
      <c r="AB158" s="81"/>
      <c r="AC158" s="200"/>
      <c r="AD158" s="200"/>
      <c r="AE158" s="200"/>
      <c r="AF158" s="200"/>
      <c r="AG158" s="200"/>
      <c r="AH158" s="200"/>
      <c r="AI158" s="200"/>
      <c r="AJ158" s="200"/>
      <c r="AK158" s="200"/>
      <c r="AL158" s="200"/>
      <c r="AM158" s="200"/>
      <c r="AN158" s="200"/>
      <c r="AO158" s="200"/>
      <c r="AP158" s="200"/>
      <c r="AQ158" s="200"/>
      <c r="AR158" s="200"/>
      <c r="AS158" s="200"/>
      <c r="AT158" s="200"/>
      <c r="AU158" s="200"/>
      <c r="AV158" s="200"/>
      <c r="AW158" s="200"/>
      <c r="AX158" s="200"/>
      <c r="AY158" s="200"/>
      <c r="AZ158" s="200"/>
      <c r="BA158" s="200"/>
      <c r="BB158" s="200"/>
      <c r="BC158" s="200"/>
      <c r="BD158" s="200"/>
      <c r="BE158" s="200"/>
      <c r="BF158" s="200"/>
      <c r="BG158" s="200"/>
      <c r="BH158" s="200"/>
      <c r="BI158" s="200"/>
      <c r="BJ158" s="200"/>
      <c r="BK158" s="200"/>
      <c r="BL158" s="200"/>
      <c r="BM158" s="200"/>
      <c r="BN158" s="200"/>
      <c r="BO158" s="200"/>
      <c r="BP158" s="200"/>
      <c r="BQ158" s="200"/>
      <c r="BR158" s="200"/>
      <c r="BS158" s="200"/>
      <c r="BT158" s="200"/>
      <c r="BU158" s="200"/>
    </row>
    <row r="159" spans="1:73" s="203" customFormat="1" ht="30">
      <c r="A159" s="182" t="s">
        <v>171</v>
      </c>
      <c r="B159" s="227" t="s">
        <v>65</v>
      </c>
      <c r="C159" s="174">
        <f>пар!B74*C74</f>
        <v>7000</v>
      </c>
      <c r="D159" s="174">
        <f>C159</f>
        <v>7000</v>
      </c>
      <c r="E159" s="174">
        <f aca="true" t="shared" si="95" ref="E159:N159">D159</f>
        <v>7000</v>
      </c>
      <c r="F159" s="174">
        <f t="shared" si="95"/>
        <v>7000</v>
      </c>
      <c r="G159" s="174">
        <f t="shared" si="95"/>
        <v>7000</v>
      </c>
      <c r="H159" s="174">
        <f t="shared" si="95"/>
        <v>7000</v>
      </c>
      <c r="I159" s="174">
        <f t="shared" si="95"/>
        <v>7000</v>
      </c>
      <c r="J159" s="174">
        <f t="shared" si="95"/>
        <v>7000</v>
      </c>
      <c r="K159" s="174">
        <f t="shared" si="95"/>
        <v>7000</v>
      </c>
      <c r="L159" s="174">
        <f t="shared" si="95"/>
        <v>7000</v>
      </c>
      <c r="M159" s="174">
        <f t="shared" si="95"/>
        <v>7000</v>
      </c>
      <c r="N159" s="174">
        <f t="shared" si="95"/>
        <v>7000</v>
      </c>
      <c r="O159" s="9">
        <f>SUM(C159:N159)</f>
        <v>84000</v>
      </c>
      <c r="P159" s="174">
        <f>C159</f>
        <v>7000</v>
      </c>
      <c r="Q159" s="174">
        <f>P159</f>
        <v>7000</v>
      </c>
      <c r="R159" s="174">
        <f aca="true" t="shared" si="96" ref="R159:AA159">Q159</f>
        <v>7000</v>
      </c>
      <c r="S159" s="174">
        <f t="shared" si="96"/>
        <v>7000</v>
      </c>
      <c r="T159" s="174">
        <f t="shared" si="96"/>
        <v>7000</v>
      </c>
      <c r="U159" s="174">
        <f t="shared" si="96"/>
        <v>7000</v>
      </c>
      <c r="V159" s="174">
        <f t="shared" si="96"/>
        <v>7000</v>
      </c>
      <c r="W159" s="174">
        <f t="shared" si="96"/>
        <v>7000</v>
      </c>
      <c r="X159" s="174">
        <f t="shared" si="96"/>
        <v>7000</v>
      </c>
      <c r="Y159" s="174">
        <f t="shared" si="96"/>
        <v>7000</v>
      </c>
      <c r="Z159" s="174">
        <f t="shared" si="96"/>
        <v>7000</v>
      </c>
      <c r="AA159" s="178">
        <f t="shared" si="96"/>
        <v>7000</v>
      </c>
      <c r="AB159" s="174">
        <f>SUM(P159:AA159)</f>
        <v>84000</v>
      </c>
      <c r="AC159" s="200"/>
      <c r="AD159" s="200"/>
      <c r="AE159" s="200"/>
      <c r="AF159" s="200"/>
      <c r="AG159" s="200"/>
      <c r="AH159" s="200"/>
      <c r="AI159" s="200"/>
      <c r="AJ159" s="200"/>
      <c r="AK159" s="200"/>
      <c r="AL159" s="200"/>
      <c r="AM159" s="200"/>
      <c r="AN159" s="200"/>
      <c r="AO159" s="200"/>
      <c r="AP159" s="200"/>
      <c r="AQ159" s="200"/>
      <c r="AR159" s="200"/>
      <c r="AS159" s="200"/>
      <c r="AT159" s="200"/>
      <c r="AU159" s="200"/>
      <c r="AV159" s="200"/>
      <c r="AW159" s="200"/>
      <c r="AX159" s="200"/>
      <c r="AY159" s="200"/>
      <c r="AZ159" s="200"/>
      <c r="BA159" s="200"/>
      <c r="BB159" s="200"/>
      <c r="BC159" s="200"/>
      <c r="BD159" s="200"/>
      <c r="BE159" s="200"/>
      <c r="BF159" s="200"/>
      <c r="BG159" s="200"/>
      <c r="BH159" s="200"/>
      <c r="BI159" s="200"/>
      <c r="BJ159" s="200"/>
      <c r="BK159" s="200"/>
      <c r="BL159" s="200"/>
      <c r="BM159" s="200"/>
      <c r="BN159" s="200"/>
      <c r="BO159" s="200"/>
      <c r="BP159" s="200"/>
      <c r="BQ159" s="200"/>
      <c r="BR159" s="200"/>
      <c r="BS159" s="200"/>
      <c r="BT159" s="200"/>
      <c r="BU159" s="200"/>
    </row>
    <row r="160" spans="1:73" s="203" customFormat="1" ht="45">
      <c r="A160" s="180" t="str">
        <f>пар!A75</f>
        <v>абонентская оплата (сопровождение) с 4-го месяца работы (Дизайн,SMM и другие спец)</v>
      </c>
      <c r="B160" s="227" t="s">
        <v>65</v>
      </c>
      <c r="C160" s="174"/>
      <c r="D160" s="174"/>
      <c r="E160" s="174"/>
      <c r="F160" s="174"/>
      <c r="G160" s="229">
        <f>пар!B75</f>
        <v>8000</v>
      </c>
      <c r="H160" s="174">
        <f>G160</f>
        <v>8000</v>
      </c>
      <c r="I160" s="174">
        <f aca="true" t="shared" si="97" ref="I160:N160">H160</f>
        <v>8000</v>
      </c>
      <c r="J160" s="174">
        <f t="shared" si="97"/>
        <v>8000</v>
      </c>
      <c r="K160" s="174">
        <f t="shared" si="97"/>
        <v>8000</v>
      </c>
      <c r="L160" s="174">
        <f t="shared" si="97"/>
        <v>8000</v>
      </c>
      <c r="M160" s="174">
        <f t="shared" si="97"/>
        <v>8000</v>
      </c>
      <c r="N160" s="174">
        <f t="shared" si="97"/>
        <v>8000</v>
      </c>
      <c r="O160" s="9">
        <f>SUM(C160:N160)</f>
        <v>64000</v>
      </c>
      <c r="P160" s="174">
        <f>G160</f>
        <v>8000</v>
      </c>
      <c r="Q160" s="174">
        <f>P160</f>
        <v>8000</v>
      </c>
      <c r="R160" s="174">
        <f aca="true" t="shared" si="98" ref="R160:AA160">Q160</f>
        <v>8000</v>
      </c>
      <c r="S160" s="174">
        <f t="shared" si="98"/>
        <v>8000</v>
      </c>
      <c r="T160" s="174">
        <f t="shared" si="98"/>
        <v>8000</v>
      </c>
      <c r="U160" s="174">
        <f t="shared" si="98"/>
        <v>8000</v>
      </c>
      <c r="V160" s="174">
        <f t="shared" si="98"/>
        <v>8000</v>
      </c>
      <c r="W160" s="174">
        <f t="shared" si="98"/>
        <v>8000</v>
      </c>
      <c r="X160" s="174">
        <f t="shared" si="98"/>
        <v>8000</v>
      </c>
      <c r="Y160" s="174">
        <f t="shared" si="98"/>
        <v>8000</v>
      </c>
      <c r="Z160" s="174">
        <f t="shared" si="98"/>
        <v>8000</v>
      </c>
      <c r="AA160" s="178">
        <f t="shared" si="98"/>
        <v>8000</v>
      </c>
      <c r="AB160" s="174">
        <f>SUM(P160:AA160)</f>
        <v>96000</v>
      </c>
      <c r="AC160" s="200"/>
      <c r="AD160" s="200"/>
      <c r="AE160" s="200"/>
      <c r="AF160" s="200"/>
      <c r="AG160" s="200"/>
      <c r="AH160" s="200"/>
      <c r="AI160" s="200"/>
      <c r="AJ160" s="200"/>
      <c r="AK160" s="200"/>
      <c r="AL160" s="200"/>
      <c r="AM160" s="200"/>
      <c r="AN160" s="200"/>
      <c r="AO160" s="200"/>
      <c r="AP160" s="200"/>
      <c r="AQ160" s="200"/>
      <c r="AR160" s="200"/>
      <c r="AS160" s="200"/>
      <c r="AT160" s="200"/>
      <c r="AU160" s="200"/>
      <c r="AV160" s="200"/>
      <c r="AW160" s="200"/>
      <c r="AX160" s="200"/>
      <c r="AY160" s="200"/>
      <c r="AZ160" s="200"/>
      <c r="BA160" s="200"/>
      <c r="BB160" s="200"/>
      <c r="BC160" s="200"/>
      <c r="BD160" s="200"/>
      <c r="BE160" s="200"/>
      <c r="BF160" s="200"/>
      <c r="BG160" s="200"/>
      <c r="BH160" s="200"/>
      <c r="BI160" s="200"/>
      <c r="BJ160" s="200"/>
      <c r="BK160" s="200"/>
      <c r="BL160" s="200"/>
      <c r="BM160" s="200"/>
      <c r="BN160" s="200"/>
      <c r="BO160" s="200"/>
      <c r="BP160" s="200"/>
      <c r="BQ160" s="200"/>
      <c r="BR160" s="200"/>
      <c r="BS160" s="200"/>
      <c r="BT160" s="200"/>
      <c r="BU160" s="200"/>
    </row>
    <row r="161" spans="1:73" ht="15">
      <c r="A161" s="107" t="s">
        <v>21</v>
      </c>
      <c r="B161" s="85" t="s">
        <v>65</v>
      </c>
      <c r="C161" s="48">
        <f>SUM(C163:C169)</f>
        <v>17959.7125</v>
      </c>
      <c r="D161" s="47">
        <f>SUM(D163:D169)</f>
        <v>20374.14375</v>
      </c>
      <c r="E161" s="47">
        <f>SUM(E163:E169)</f>
        <v>27374.6725</v>
      </c>
      <c r="F161" s="48">
        <f aca="true" t="shared" si="99" ref="F161:N161">F162+F167+F168+F169</f>
        <v>36102.22750000001</v>
      </c>
      <c r="G161" s="48">
        <f t="shared" si="99"/>
        <v>37782.9225</v>
      </c>
      <c r="H161" s="48">
        <f t="shared" si="99"/>
        <v>39852.435</v>
      </c>
      <c r="I161" s="48">
        <f t="shared" si="99"/>
        <v>41921.947499999995</v>
      </c>
      <c r="J161" s="48">
        <f t="shared" si="99"/>
        <v>43991.46</v>
      </c>
      <c r="K161" s="48">
        <f t="shared" si="99"/>
        <v>46060.9725</v>
      </c>
      <c r="L161" s="48">
        <f t="shared" si="99"/>
        <v>48130.485</v>
      </c>
      <c r="M161" s="48">
        <f t="shared" si="99"/>
        <v>50199.9975</v>
      </c>
      <c r="N161" s="48">
        <f t="shared" si="99"/>
        <v>52269.51</v>
      </c>
      <c r="O161" s="166">
        <f>O162+O167+O168+O169</f>
        <v>486716.865</v>
      </c>
      <c r="P161" s="166">
        <f aca="true" t="shared" si="100" ref="P161:AB161">P162+P167+P168+P169</f>
        <v>56339.02249999999</v>
      </c>
      <c r="Q161" s="166">
        <f t="shared" si="100"/>
        <v>58408.534999999996</v>
      </c>
      <c r="R161" s="166">
        <f t="shared" si="100"/>
        <v>60478.04749999999</v>
      </c>
      <c r="S161" s="166">
        <f t="shared" si="100"/>
        <v>62547.56</v>
      </c>
      <c r="T161" s="166">
        <f t="shared" si="100"/>
        <v>64617.072499999995</v>
      </c>
      <c r="U161" s="166">
        <f t="shared" si="100"/>
        <v>66686.58499999999</v>
      </c>
      <c r="V161" s="166">
        <f t="shared" si="100"/>
        <v>68756.0975</v>
      </c>
      <c r="W161" s="166">
        <f t="shared" si="100"/>
        <v>70825.60999999999</v>
      </c>
      <c r="X161" s="166">
        <f t="shared" si="100"/>
        <v>72895.1225</v>
      </c>
      <c r="Y161" s="166">
        <f t="shared" si="100"/>
        <v>74964.635</v>
      </c>
      <c r="Z161" s="166">
        <f t="shared" si="100"/>
        <v>77034.14749999999</v>
      </c>
      <c r="AA161" s="211">
        <f t="shared" si="100"/>
        <v>79103.66</v>
      </c>
      <c r="AB161" s="166">
        <f t="shared" si="100"/>
        <v>812656.095</v>
      </c>
      <c r="AC161" s="200"/>
      <c r="AD161" s="200"/>
      <c r="AE161" s="200"/>
      <c r="AF161" s="200"/>
      <c r="AG161" s="200"/>
      <c r="AH161" s="200"/>
      <c r="AI161" s="200"/>
      <c r="AJ161" s="200"/>
      <c r="AK161" s="200"/>
      <c r="AL161" s="200"/>
      <c r="AM161" s="200"/>
      <c r="AN161" s="200"/>
      <c r="AO161" s="200"/>
      <c r="AP161" s="200"/>
      <c r="AQ161" s="200"/>
      <c r="AR161" s="200"/>
      <c r="AS161" s="200"/>
      <c r="AT161" s="200"/>
      <c r="AU161" s="200"/>
      <c r="AV161" s="200"/>
      <c r="AW161" s="200"/>
      <c r="AX161" s="200"/>
      <c r="AY161" s="200"/>
      <c r="AZ161" s="200"/>
      <c r="BA161" s="200"/>
      <c r="BB161" s="200"/>
      <c r="BC161" s="200"/>
      <c r="BD161" s="200"/>
      <c r="BE161" s="200"/>
      <c r="BF161" s="200"/>
      <c r="BG161" s="200"/>
      <c r="BH161" s="200"/>
      <c r="BI161" s="200"/>
      <c r="BJ161" s="200"/>
      <c r="BK161" s="200"/>
      <c r="BL161" s="200"/>
      <c r="BM161" s="200"/>
      <c r="BN161" s="200"/>
      <c r="BO161" s="200"/>
      <c r="BP161" s="200"/>
      <c r="BQ161" s="200"/>
      <c r="BR161" s="200"/>
      <c r="BS161" s="200"/>
      <c r="BT161" s="200"/>
      <c r="BU161" s="200"/>
    </row>
    <row r="162" spans="1:73" s="203" customFormat="1" ht="15">
      <c r="A162" s="226" t="s">
        <v>104</v>
      </c>
      <c r="B162" s="227"/>
      <c r="C162" s="174">
        <f>C166*C163</f>
        <v>23915.375</v>
      </c>
      <c r="D162" s="174">
        <f aca="true" t="shared" si="101" ref="D162:N162">D166*D163</f>
        <v>28744.2375</v>
      </c>
      <c r="E162" s="174">
        <f t="shared" si="101"/>
        <v>32745.295000000002</v>
      </c>
      <c r="F162" s="174">
        <f t="shared" si="101"/>
        <v>31102.227500000005</v>
      </c>
      <c r="G162" s="174">
        <f t="shared" si="101"/>
        <v>32782.9225</v>
      </c>
      <c r="H162" s="174">
        <f t="shared" si="101"/>
        <v>34852.435</v>
      </c>
      <c r="I162" s="174">
        <f t="shared" si="101"/>
        <v>36921.947499999995</v>
      </c>
      <c r="J162" s="174">
        <f t="shared" si="101"/>
        <v>38991.46</v>
      </c>
      <c r="K162" s="174">
        <f t="shared" si="101"/>
        <v>41060.9725</v>
      </c>
      <c r="L162" s="174">
        <f t="shared" si="101"/>
        <v>43130.485</v>
      </c>
      <c r="M162" s="174">
        <f t="shared" si="101"/>
        <v>45199.9975</v>
      </c>
      <c r="N162" s="174">
        <f t="shared" si="101"/>
        <v>47269.51</v>
      </c>
      <c r="O162" s="9">
        <f>O166*O163</f>
        <v>436716.865</v>
      </c>
      <c r="P162" s="9">
        <f aca="true" t="shared" si="102" ref="P162:AB162">P166*P163</f>
        <v>49339.02249999999</v>
      </c>
      <c r="Q162" s="9">
        <f t="shared" si="102"/>
        <v>51408.534999999996</v>
      </c>
      <c r="R162" s="9">
        <f t="shared" si="102"/>
        <v>53478.04749999999</v>
      </c>
      <c r="S162" s="9">
        <f t="shared" si="102"/>
        <v>55547.56</v>
      </c>
      <c r="T162" s="9">
        <f t="shared" si="102"/>
        <v>57617.072499999995</v>
      </c>
      <c r="U162" s="9">
        <f t="shared" si="102"/>
        <v>59686.58499999999</v>
      </c>
      <c r="V162" s="9">
        <f t="shared" si="102"/>
        <v>61756.097499999996</v>
      </c>
      <c r="W162" s="9">
        <f t="shared" si="102"/>
        <v>63825.60999999999</v>
      </c>
      <c r="X162" s="9">
        <f t="shared" si="102"/>
        <v>65895.1225</v>
      </c>
      <c r="Y162" s="9">
        <f t="shared" si="102"/>
        <v>67964.635</v>
      </c>
      <c r="Z162" s="9">
        <f t="shared" si="102"/>
        <v>70034.14749999999</v>
      </c>
      <c r="AA162" s="228">
        <f t="shared" si="102"/>
        <v>72103.66</v>
      </c>
      <c r="AB162" s="9">
        <f t="shared" si="102"/>
        <v>728656.095</v>
      </c>
      <c r="AC162" s="200"/>
      <c r="AD162" s="200"/>
      <c r="AE162" s="200"/>
      <c r="AF162" s="200"/>
      <c r="AG162" s="200"/>
      <c r="AH162" s="200"/>
      <c r="AI162" s="200"/>
      <c r="AJ162" s="200"/>
      <c r="AK162" s="200"/>
      <c r="AL162" s="200"/>
      <c r="AM162" s="200"/>
      <c r="AN162" s="200"/>
      <c r="AO162" s="200"/>
      <c r="AP162" s="200"/>
      <c r="AQ162" s="200"/>
      <c r="AR162" s="200"/>
      <c r="AS162" s="200"/>
      <c r="AT162" s="200"/>
      <c r="AU162" s="200"/>
      <c r="AV162" s="200"/>
      <c r="AW162" s="200"/>
      <c r="AX162" s="200"/>
      <c r="AY162" s="200"/>
      <c r="AZ162" s="200"/>
      <c r="BA162" s="200"/>
      <c r="BB162" s="200"/>
      <c r="BC162" s="200"/>
      <c r="BD162" s="200"/>
      <c r="BE162" s="200"/>
      <c r="BF162" s="200"/>
      <c r="BG162" s="200"/>
      <c r="BH162" s="200"/>
      <c r="BI162" s="200"/>
      <c r="BJ162" s="200"/>
      <c r="BK162" s="200"/>
      <c r="BL162" s="200"/>
      <c r="BM162" s="200"/>
      <c r="BN162" s="200"/>
      <c r="BO162" s="200"/>
      <c r="BP162" s="200"/>
      <c r="BQ162" s="200"/>
      <c r="BR162" s="200"/>
      <c r="BS162" s="200"/>
      <c r="BT162" s="200"/>
      <c r="BU162" s="200"/>
    </row>
    <row r="163" spans="1:73" s="203" customFormat="1" ht="15">
      <c r="A163" s="174" t="s">
        <v>101</v>
      </c>
      <c r="B163" s="227" t="s">
        <v>93</v>
      </c>
      <c r="C163" s="234">
        <f>пар!B77</f>
        <v>2</v>
      </c>
      <c r="D163" s="230">
        <f>C163</f>
        <v>2</v>
      </c>
      <c r="E163" s="230">
        <f aca="true" t="shared" si="103" ref="E163:N163">D163</f>
        <v>2</v>
      </c>
      <c r="F163" s="230">
        <f t="shared" si="103"/>
        <v>2</v>
      </c>
      <c r="G163" s="230">
        <f t="shared" si="103"/>
        <v>2</v>
      </c>
      <c r="H163" s="230">
        <f t="shared" si="103"/>
        <v>2</v>
      </c>
      <c r="I163" s="230">
        <f t="shared" si="103"/>
        <v>2</v>
      </c>
      <c r="J163" s="230">
        <f t="shared" si="103"/>
        <v>2</v>
      </c>
      <c r="K163" s="230">
        <f t="shared" si="103"/>
        <v>2</v>
      </c>
      <c r="L163" s="230">
        <f t="shared" si="103"/>
        <v>2</v>
      </c>
      <c r="M163" s="230">
        <f t="shared" si="103"/>
        <v>2</v>
      </c>
      <c r="N163" s="230">
        <f t="shared" si="103"/>
        <v>2</v>
      </c>
      <c r="O163" s="20">
        <f>(C163+D163+E163+F163+G163+H163+I163+J163+K163+L163+M163+N163)/12</f>
        <v>2</v>
      </c>
      <c r="P163" s="235">
        <v>2</v>
      </c>
      <c r="Q163" s="236">
        <f>P163</f>
        <v>2</v>
      </c>
      <c r="R163" s="235">
        <f aca="true" t="shared" si="104" ref="R163:AA163">Q163</f>
        <v>2</v>
      </c>
      <c r="S163" s="235">
        <f t="shared" si="104"/>
        <v>2</v>
      </c>
      <c r="T163" s="235">
        <f t="shared" si="104"/>
        <v>2</v>
      </c>
      <c r="U163" s="235">
        <f t="shared" si="104"/>
        <v>2</v>
      </c>
      <c r="V163" s="235">
        <f t="shared" si="104"/>
        <v>2</v>
      </c>
      <c r="W163" s="235">
        <f t="shared" si="104"/>
        <v>2</v>
      </c>
      <c r="X163" s="235">
        <f t="shared" si="104"/>
        <v>2</v>
      </c>
      <c r="Y163" s="235">
        <f t="shared" si="104"/>
        <v>2</v>
      </c>
      <c r="Z163" s="235">
        <f t="shared" si="104"/>
        <v>2</v>
      </c>
      <c r="AA163" s="237">
        <f t="shared" si="104"/>
        <v>2</v>
      </c>
      <c r="AB163" s="230">
        <v>2</v>
      </c>
      <c r="AC163" s="200"/>
      <c r="AD163" s="200"/>
      <c r="AE163" s="200"/>
      <c r="AF163" s="200"/>
      <c r="AG163" s="200"/>
      <c r="AH163" s="200"/>
      <c r="AI163" s="200"/>
      <c r="AJ163" s="200"/>
      <c r="AK163" s="200"/>
      <c r="AL163" s="200"/>
      <c r="AM163" s="200"/>
      <c r="AN163" s="200"/>
      <c r="AO163" s="200"/>
      <c r="AP163" s="200"/>
      <c r="AQ163" s="200"/>
      <c r="AR163" s="200"/>
      <c r="AS163" s="200"/>
      <c r="AT163" s="200"/>
      <c r="AU163" s="200"/>
      <c r="AV163" s="200"/>
      <c r="AW163" s="200"/>
      <c r="AX163" s="200"/>
      <c r="AY163" s="200"/>
      <c r="AZ163" s="200"/>
      <c r="BA163" s="200"/>
      <c r="BB163" s="200"/>
      <c r="BC163" s="200"/>
      <c r="BD163" s="200"/>
      <c r="BE163" s="200"/>
      <c r="BF163" s="200"/>
      <c r="BG163" s="200"/>
      <c r="BH163" s="200"/>
      <c r="BI163" s="200"/>
      <c r="BJ163" s="200"/>
      <c r="BK163" s="200"/>
      <c r="BL163" s="200"/>
      <c r="BM163" s="200"/>
      <c r="BN163" s="200"/>
      <c r="BO163" s="200"/>
      <c r="BP163" s="200"/>
      <c r="BQ163" s="200"/>
      <c r="BR163" s="200"/>
      <c r="BS163" s="200"/>
      <c r="BT163" s="200"/>
      <c r="BU163" s="200"/>
    </row>
    <row r="164" spans="1:73" s="203" customFormat="1" ht="15">
      <c r="A164" s="174" t="s">
        <v>102</v>
      </c>
      <c r="B164" s="227"/>
      <c r="C164" s="234">
        <f>пар!B78</f>
        <v>6000</v>
      </c>
      <c r="D164" s="238">
        <f>C164</f>
        <v>6000</v>
      </c>
      <c r="E164" s="230">
        <f>D164</f>
        <v>6000</v>
      </c>
      <c r="F164" s="230">
        <f aca="true" t="shared" si="105" ref="F164:P165">E164</f>
        <v>6000</v>
      </c>
      <c r="G164" s="230">
        <f t="shared" si="105"/>
        <v>6000</v>
      </c>
      <c r="H164" s="230">
        <f t="shared" si="105"/>
        <v>6000</v>
      </c>
      <c r="I164" s="230">
        <f t="shared" si="105"/>
        <v>6000</v>
      </c>
      <c r="J164" s="230">
        <f t="shared" si="105"/>
        <v>6000</v>
      </c>
      <c r="K164" s="230">
        <f t="shared" si="105"/>
        <v>6000</v>
      </c>
      <c r="L164" s="230">
        <f t="shared" si="105"/>
        <v>6000</v>
      </c>
      <c r="M164" s="230">
        <f t="shared" si="105"/>
        <v>6000</v>
      </c>
      <c r="N164" s="230">
        <f t="shared" si="105"/>
        <v>6000</v>
      </c>
      <c r="O164" s="20">
        <f>SUM(C164:N164)</f>
        <v>72000</v>
      </c>
      <c r="P164" s="235">
        <f>N164</f>
        <v>6000</v>
      </c>
      <c r="Q164" s="236">
        <f>P164</f>
        <v>6000</v>
      </c>
      <c r="R164" s="236">
        <f>Q164</f>
        <v>6000</v>
      </c>
      <c r="S164" s="236">
        <f aca="true" t="shared" si="106" ref="S164:AA164">R164</f>
        <v>6000</v>
      </c>
      <c r="T164" s="236">
        <f t="shared" si="106"/>
        <v>6000</v>
      </c>
      <c r="U164" s="236">
        <f t="shared" si="106"/>
        <v>6000</v>
      </c>
      <c r="V164" s="236">
        <f t="shared" si="106"/>
        <v>6000</v>
      </c>
      <c r="W164" s="236">
        <f t="shared" si="106"/>
        <v>6000</v>
      </c>
      <c r="X164" s="236">
        <f t="shared" si="106"/>
        <v>6000</v>
      </c>
      <c r="Y164" s="236">
        <f t="shared" si="106"/>
        <v>6000</v>
      </c>
      <c r="Z164" s="236">
        <f t="shared" si="106"/>
        <v>6000</v>
      </c>
      <c r="AA164" s="239">
        <f t="shared" si="106"/>
        <v>6000</v>
      </c>
      <c r="AB164" s="20">
        <f>SUM(P164:AA164)</f>
        <v>72000</v>
      </c>
      <c r="AC164" s="200"/>
      <c r="AD164" s="200"/>
      <c r="AE164" s="200"/>
      <c r="AF164" s="200"/>
      <c r="AG164" s="200"/>
      <c r="AH164" s="200"/>
      <c r="AI164" s="200"/>
      <c r="AJ164" s="200"/>
      <c r="AK164" s="200"/>
      <c r="AL164" s="200"/>
      <c r="AM164" s="200"/>
      <c r="AN164" s="200"/>
      <c r="AO164" s="200"/>
      <c r="AP164" s="200"/>
      <c r="AQ164" s="200"/>
      <c r="AR164" s="200"/>
      <c r="AS164" s="200"/>
      <c r="AT164" s="200"/>
      <c r="AU164" s="200"/>
      <c r="AV164" s="200"/>
      <c r="AW164" s="200"/>
      <c r="AX164" s="200"/>
      <c r="AY164" s="200"/>
      <c r="AZ164" s="200"/>
      <c r="BA164" s="200"/>
      <c r="BB164" s="200"/>
      <c r="BC164" s="200"/>
      <c r="BD164" s="200"/>
      <c r="BE164" s="200"/>
      <c r="BF164" s="200"/>
      <c r="BG164" s="200"/>
      <c r="BH164" s="200"/>
      <c r="BI164" s="200"/>
      <c r="BJ164" s="200"/>
      <c r="BK164" s="200"/>
      <c r="BL164" s="200"/>
      <c r="BM164" s="200"/>
      <c r="BN164" s="200"/>
      <c r="BO164" s="200"/>
      <c r="BP164" s="200"/>
      <c r="BQ164" s="200"/>
      <c r="BR164" s="200"/>
      <c r="BS164" s="200"/>
      <c r="BT164" s="200"/>
      <c r="BU164" s="200"/>
    </row>
    <row r="165" spans="1:73" s="203" customFormat="1" ht="36" customHeight="1">
      <c r="A165" s="180" t="s">
        <v>105</v>
      </c>
      <c r="B165" s="227" t="s">
        <v>69</v>
      </c>
      <c r="C165" s="240">
        <f>пар!B79</f>
        <v>0.025</v>
      </c>
      <c r="D165" s="241">
        <f>C165</f>
        <v>0.025</v>
      </c>
      <c r="E165" s="241">
        <f>D165</f>
        <v>0.025</v>
      </c>
      <c r="F165" s="241">
        <f t="shared" si="105"/>
        <v>0.025</v>
      </c>
      <c r="G165" s="241">
        <f t="shared" si="105"/>
        <v>0.025</v>
      </c>
      <c r="H165" s="241">
        <f t="shared" si="105"/>
        <v>0.025</v>
      </c>
      <c r="I165" s="241">
        <f t="shared" si="105"/>
        <v>0.025</v>
      </c>
      <c r="J165" s="241">
        <f t="shared" si="105"/>
        <v>0.025</v>
      </c>
      <c r="K165" s="241">
        <f t="shared" si="105"/>
        <v>0.025</v>
      </c>
      <c r="L165" s="241">
        <f t="shared" si="105"/>
        <v>0.025</v>
      </c>
      <c r="M165" s="241">
        <f t="shared" si="105"/>
        <v>0.025</v>
      </c>
      <c r="N165" s="241">
        <f t="shared" si="105"/>
        <v>0.025</v>
      </c>
      <c r="O165" s="242">
        <f>(C165+D165+E165+F165+G165+H165+I165+J165+K165+L165+M165+N165)/12</f>
        <v>0.024999999999999998</v>
      </c>
      <c r="P165" s="243">
        <f t="shared" si="105"/>
        <v>0.024999999999999998</v>
      </c>
      <c r="Q165" s="244">
        <f>P165</f>
        <v>0.024999999999999998</v>
      </c>
      <c r="R165" s="244">
        <f aca="true" t="shared" si="107" ref="R165:AA165">Q165</f>
        <v>0.024999999999999998</v>
      </c>
      <c r="S165" s="244">
        <f t="shared" si="107"/>
        <v>0.024999999999999998</v>
      </c>
      <c r="T165" s="244">
        <f t="shared" si="107"/>
        <v>0.024999999999999998</v>
      </c>
      <c r="U165" s="244">
        <f t="shared" si="107"/>
        <v>0.024999999999999998</v>
      </c>
      <c r="V165" s="244">
        <f t="shared" si="107"/>
        <v>0.024999999999999998</v>
      </c>
      <c r="W165" s="244">
        <f t="shared" si="107"/>
        <v>0.024999999999999998</v>
      </c>
      <c r="X165" s="244">
        <f t="shared" si="107"/>
        <v>0.024999999999999998</v>
      </c>
      <c r="Y165" s="244">
        <f t="shared" si="107"/>
        <v>0.024999999999999998</v>
      </c>
      <c r="Z165" s="244">
        <f t="shared" si="107"/>
        <v>0.024999999999999998</v>
      </c>
      <c r="AA165" s="245">
        <f t="shared" si="107"/>
        <v>0.024999999999999998</v>
      </c>
      <c r="AB165" s="242">
        <f>(P165+Q165+R165+S165+T165+U165+V165+W165+X165+Y165+Z165+AA165)/12</f>
        <v>0.024999999999999998</v>
      </c>
      <c r="AC165" s="200"/>
      <c r="AD165" s="200"/>
      <c r="AE165" s="200"/>
      <c r="AF165" s="200"/>
      <c r="AG165" s="200"/>
      <c r="AH165" s="200"/>
      <c r="AI165" s="200"/>
      <c r="AJ165" s="200"/>
      <c r="AK165" s="200"/>
      <c r="AL165" s="200"/>
      <c r="AM165" s="200"/>
      <c r="AN165" s="200"/>
      <c r="AO165" s="200"/>
      <c r="AP165" s="200"/>
      <c r="AQ165" s="200"/>
      <c r="AR165" s="200"/>
      <c r="AS165" s="200"/>
      <c r="AT165" s="200"/>
      <c r="AU165" s="200"/>
      <c r="AV165" s="200"/>
      <c r="AW165" s="200"/>
      <c r="AX165" s="200"/>
      <c r="AY165" s="200"/>
      <c r="AZ165" s="200"/>
      <c r="BA165" s="200"/>
      <c r="BB165" s="200"/>
      <c r="BC165" s="200"/>
      <c r="BD165" s="200"/>
      <c r="BE165" s="200"/>
      <c r="BF165" s="200"/>
      <c r="BG165" s="200"/>
      <c r="BH165" s="200"/>
      <c r="BI165" s="200"/>
      <c r="BJ165" s="200"/>
      <c r="BK165" s="200"/>
      <c r="BL165" s="200"/>
      <c r="BM165" s="200"/>
      <c r="BN165" s="200"/>
      <c r="BO165" s="200"/>
      <c r="BP165" s="200"/>
      <c r="BQ165" s="200"/>
      <c r="BR165" s="200"/>
      <c r="BS165" s="200"/>
      <c r="BT165" s="200"/>
      <c r="BU165" s="200"/>
    </row>
    <row r="166" spans="1:73" s="203" customFormat="1" ht="15">
      <c r="A166" s="174" t="s">
        <v>103</v>
      </c>
      <c r="B166" s="227" t="s">
        <v>65</v>
      </c>
      <c r="C166" s="230">
        <f aca="true" t="shared" si="108" ref="C166:N166">C164+C41*C165</f>
        <v>11957.6875</v>
      </c>
      <c r="D166" s="230">
        <f t="shared" si="108"/>
        <v>14372.11875</v>
      </c>
      <c r="E166" s="230">
        <f t="shared" si="108"/>
        <v>16372.647500000001</v>
      </c>
      <c r="F166" s="230">
        <f t="shared" si="108"/>
        <v>15551.113750000002</v>
      </c>
      <c r="G166" s="230">
        <f t="shared" si="108"/>
        <v>16391.46125</v>
      </c>
      <c r="H166" s="230">
        <f t="shared" si="108"/>
        <v>17426.2175</v>
      </c>
      <c r="I166" s="230">
        <f t="shared" si="108"/>
        <v>18460.973749999997</v>
      </c>
      <c r="J166" s="230">
        <f t="shared" si="108"/>
        <v>19495.73</v>
      </c>
      <c r="K166" s="230">
        <f t="shared" si="108"/>
        <v>20530.48625</v>
      </c>
      <c r="L166" s="230">
        <f t="shared" si="108"/>
        <v>21565.2425</v>
      </c>
      <c r="M166" s="230">
        <f t="shared" si="108"/>
        <v>22599.99875</v>
      </c>
      <c r="N166" s="230">
        <f t="shared" si="108"/>
        <v>23634.755</v>
      </c>
      <c r="O166" s="20">
        <f>(C166+D166+E166+F166+G166+H166+I166+J166+K166+L166+M166+N166)</f>
        <v>218358.4325</v>
      </c>
      <c r="P166" s="230">
        <f aca="true" t="shared" si="109" ref="P166:AA166">P164+P41*P165</f>
        <v>24669.511249999996</v>
      </c>
      <c r="Q166" s="230">
        <f t="shared" si="109"/>
        <v>25704.267499999998</v>
      </c>
      <c r="R166" s="230">
        <f t="shared" si="109"/>
        <v>26739.023749999997</v>
      </c>
      <c r="S166" s="230">
        <f t="shared" si="109"/>
        <v>27773.78</v>
      </c>
      <c r="T166" s="230">
        <f t="shared" si="109"/>
        <v>28808.536249999997</v>
      </c>
      <c r="U166" s="230">
        <f t="shared" si="109"/>
        <v>29843.292499999996</v>
      </c>
      <c r="V166" s="230">
        <f t="shared" si="109"/>
        <v>30878.048749999998</v>
      </c>
      <c r="W166" s="230">
        <f t="shared" si="109"/>
        <v>31912.804999999997</v>
      </c>
      <c r="X166" s="230">
        <f t="shared" si="109"/>
        <v>32947.56125</v>
      </c>
      <c r="Y166" s="230">
        <f t="shared" si="109"/>
        <v>33982.3175</v>
      </c>
      <c r="Z166" s="230">
        <f t="shared" si="109"/>
        <v>35017.073749999996</v>
      </c>
      <c r="AA166" s="231">
        <f t="shared" si="109"/>
        <v>36051.83</v>
      </c>
      <c r="AB166" s="20">
        <f>(P166+Q166+R166+S166+T166+U166+V166+W166+X166+Y166+Z166+AA166)</f>
        <v>364328.0475</v>
      </c>
      <c r="AC166" s="200"/>
      <c r="AD166" s="200"/>
      <c r="AE166" s="200"/>
      <c r="AF166" s="200"/>
      <c r="AG166" s="200"/>
      <c r="AH166" s="200"/>
      <c r="AI166" s="200"/>
      <c r="AJ166" s="200"/>
      <c r="AK166" s="200"/>
      <c r="AL166" s="200"/>
      <c r="AM166" s="200"/>
      <c r="AN166" s="200"/>
      <c r="AO166" s="200"/>
      <c r="AP166" s="200"/>
      <c r="AQ166" s="200"/>
      <c r="AR166" s="200"/>
      <c r="AS166" s="200"/>
      <c r="AT166" s="200"/>
      <c r="AU166" s="200"/>
      <c r="AV166" s="200"/>
      <c r="AW166" s="200"/>
      <c r="AX166" s="200"/>
      <c r="AY166" s="200"/>
      <c r="AZ166" s="200"/>
      <c r="BA166" s="200"/>
      <c r="BB166" s="200"/>
      <c r="BC166" s="200"/>
      <c r="BD166" s="200"/>
      <c r="BE166" s="200"/>
      <c r="BF166" s="200"/>
      <c r="BG166" s="200"/>
      <c r="BH166" s="200"/>
      <c r="BI166" s="200"/>
      <c r="BJ166" s="200"/>
      <c r="BK166" s="200"/>
      <c r="BL166" s="200"/>
      <c r="BM166" s="200"/>
      <c r="BN166" s="200"/>
      <c r="BO166" s="200"/>
      <c r="BP166" s="200"/>
      <c r="BQ166" s="200"/>
      <c r="BR166" s="200"/>
      <c r="BS166" s="200"/>
      <c r="BT166" s="200"/>
      <c r="BU166" s="200"/>
    </row>
    <row r="167" spans="1:73" ht="15">
      <c r="A167" s="13" t="s">
        <v>22</v>
      </c>
      <c r="B167" s="37" t="s">
        <v>65</v>
      </c>
      <c r="C167" s="35"/>
      <c r="D167" s="35"/>
      <c r="E167" s="35"/>
      <c r="F167" s="42">
        <f>пар!B80</f>
        <v>0</v>
      </c>
      <c r="G167" s="35">
        <f>F167</f>
        <v>0</v>
      </c>
      <c r="H167" s="35">
        <f aca="true" t="shared" si="110" ref="H167:N167">G167</f>
        <v>0</v>
      </c>
      <c r="I167" s="35">
        <f t="shared" si="110"/>
        <v>0</v>
      </c>
      <c r="J167" s="35">
        <f t="shared" si="110"/>
        <v>0</v>
      </c>
      <c r="K167" s="35">
        <f t="shared" si="110"/>
        <v>0</v>
      </c>
      <c r="L167" s="35">
        <f t="shared" si="110"/>
        <v>0</v>
      </c>
      <c r="M167" s="35">
        <f t="shared" si="110"/>
        <v>0</v>
      </c>
      <c r="N167" s="35">
        <f t="shared" si="110"/>
        <v>0</v>
      </c>
      <c r="O167" s="64">
        <f aca="true" t="shared" si="111" ref="O167:O172">SUM(C167:N167)</f>
        <v>0</v>
      </c>
      <c r="P167" s="35">
        <f>F167</f>
        <v>0</v>
      </c>
      <c r="Q167" s="35">
        <f aca="true" t="shared" si="112" ref="Q167:AA168">P167</f>
        <v>0</v>
      </c>
      <c r="R167" s="35">
        <f t="shared" si="112"/>
        <v>0</v>
      </c>
      <c r="S167" s="35">
        <f t="shared" si="112"/>
        <v>0</v>
      </c>
      <c r="T167" s="35">
        <f t="shared" si="112"/>
        <v>0</v>
      </c>
      <c r="U167" s="35">
        <f t="shared" si="112"/>
        <v>0</v>
      </c>
      <c r="V167" s="35">
        <f t="shared" si="112"/>
        <v>0</v>
      </c>
      <c r="W167" s="35">
        <f t="shared" si="112"/>
        <v>0</v>
      </c>
      <c r="X167" s="35">
        <f t="shared" si="112"/>
        <v>0</v>
      </c>
      <c r="Y167" s="35">
        <f t="shared" si="112"/>
        <v>0</v>
      </c>
      <c r="Z167" s="35">
        <f t="shared" si="112"/>
        <v>0</v>
      </c>
      <c r="AA167" s="208">
        <f t="shared" si="112"/>
        <v>0</v>
      </c>
      <c r="AB167" s="35">
        <f aca="true" t="shared" si="113" ref="AB167:AB172">SUM(P167:AA167)</f>
        <v>0</v>
      </c>
      <c r="AC167" s="200"/>
      <c r="AD167" s="200"/>
      <c r="AE167" s="200"/>
      <c r="AF167" s="200"/>
      <c r="AG167" s="200"/>
      <c r="AH167" s="200"/>
      <c r="AI167" s="200"/>
      <c r="AJ167" s="200"/>
      <c r="AK167" s="200"/>
      <c r="AL167" s="200"/>
      <c r="AM167" s="200"/>
      <c r="AN167" s="200"/>
      <c r="AO167" s="200"/>
      <c r="AP167" s="200"/>
      <c r="AQ167" s="200"/>
      <c r="AR167" s="200"/>
      <c r="AS167" s="200"/>
      <c r="AT167" s="200"/>
      <c r="AU167" s="200"/>
      <c r="AV167" s="200"/>
      <c r="AW167" s="200"/>
      <c r="AX167" s="200"/>
      <c r="AY167" s="200"/>
      <c r="AZ167" s="200"/>
      <c r="BA167" s="200"/>
      <c r="BB167" s="200"/>
      <c r="BC167" s="200"/>
      <c r="BD167" s="200"/>
      <c r="BE167" s="200"/>
      <c r="BF167" s="200"/>
      <c r="BG167" s="200"/>
      <c r="BH167" s="200"/>
      <c r="BI167" s="200"/>
      <c r="BJ167" s="200"/>
      <c r="BK167" s="200"/>
      <c r="BL167" s="200"/>
      <c r="BM167" s="200"/>
      <c r="BN167" s="200"/>
      <c r="BO167" s="200"/>
      <c r="BP167" s="200"/>
      <c r="BQ167" s="200"/>
      <c r="BR167" s="200"/>
      <c r="BS167" s="200"/>
      <c r="BT167" s="200"/>
      <c r="BU167" s="200"/>
    </row>
    <row r="168" spans="1:73" ht="15">
      <c r="A168" s="13" t="s">
        <v>23</v>
      </c>
      <c r="B168" s="37" t="s">
        <v>65</v>
      </c>
      <c r="C168" s="35"/>
      <c r="D168" s="35"/>
      <c r="E168" s="35"/>
      <c r="F168" s="35"/>
      <c r="G168" s="35"/>
      <c r="H168" s="42">
        <f>пар!B81</f>
        <v>0</v>
      </c>
      <c r="I168" s="35">
        <f>H168</f>
        <v>0</v>
      </c>
      <c r="J168" s="35">
        <f aca="true" t="shared" si="114" ref="J168:N169">I168</f>
        <v>0</v>
      </c>
      <c r="K168" s="35">
        <f t="shared" si="114"/>
        <v>0</v>
      </c>
      <c r="L168" s="35">
        <f t="shared" si="114"/>
        <v>0</v>
      </c>
      <c r="M168" s="35">
        <f t="shared" si="114"/>
        <v>0</v>
      </c>
      <c r="N168" s="35">
        <f t="shared" si="114"/>
        <v>0</v>
      </c>
      <c r="O168" s="64">
        <f t="shared" si="111"/>
        <v>0</v>
      </c>
      <c r="P168" s="35">
        <f>H168</f>
        <v>0</v>
      </c>
      <c r="Q168" s="35">
        <f t="shared" si="112"/>
        <v>0</v>
      </c>
      <c r="R168" s="35">
        <f t="shared" si="112"/>
        <v>0</v>
      </c>
      <c r="S168" s="35">
        <f t="shared" si="112"/>
        <v>0</v>
      </c>
      <c r="T168" s="35">
        <f t="shared" si="112"/>
        <v>0</v>
      </c>
      <c r="U168" s="35">
        <f t="shared" si="112"/>
        <v>0</v>
      </c>
      <c r="V168" s="35">
        <f t="shared" si="112"/>
        <v>0</v>
      </c>
      <c r="W168" s="35">
        <f t="shared" si="112"/>
        <v>0</v>
      </c>
      <c r="X168" s="35">
        <f t="shared" si="112"/>
        <v>0</v>
      </c>
      <c r="Y168" s="35">
        <f t="shared" si="112"/>
        <v>0</v>
      </c>
      <c r="Z168" s="35">
        <f t="shared" si="112"/>
        <v>0</v>
      </c>
      <c r="AA168" s="208">
        <f t="shared" si="112"/>
        <v>0</v>
      </c>
      <c r="AB168" s="35">
        <f t="shared" si="113"/>
        <v>0</v>
      </c>
      <c r="AC168" s="200"/>
      <c r="AD168" s="200"/>
      <c r="AE168" s="200"/>
      <c r="AF168" s="200"/>
      <c r="AG168" s="200"/>
      <c r="AH168" s="200"/>
      <c r="AI168" s="200"/>
      <c r="AJ168" s="200"/>
      <c r="AK168" s="200"/>
      <c r="AL168" s="200"/>
      <c r="AM168" s="200"/>
      <c r="AN168" s="200"/>
      <c r="AO168" s="200"/>
      <c r="AP168" s="200"/>
      <c r="AQ168" s="200"/>
      <c r="AR168" s="200"/>
      <c r="AS168" s="200"/>
      <c r="AT168" s="200"/>
      <c r="AU168" s="200"/>
      <c r="AV168" s="200"/>
      <c r="AW168" s="200"/>
      <c r="AX168" s="200"/>
      <c r="AY168" s="200"/>
      <c r="AZ168" s="200"/>
      <c r="BA168" s="200"/>
      <c r="BB168" s="200"/>
      <c r="BC168" s="200"/>
      <c r="BD168" s="200"/>
      <c r="BE168" s="200"/>
      <c r="BF168" s="200"/>
      <c r="BG168" s="200"/>
      <c r="BH168" s="200"/>
      <c r="BI168" s="200"/>
      <c r="BJ168" s="200"/>
      <c r="BK168" s="200"/>
      <c r="BL168" s="200"/>
      <c r="BM168" s="200"/>
      <c r="BN168" s="200"/>
      <c r="BO168" s="200"/>
      <c r="BP168" s="200"/>
      <c r="BQ168" s="200"/>
      <c r="BR168" s="200"/>
      <c r="BS168" s="200"/>
      <c r="BT168" s="200"/>
      <c r="BU168" s="200"/>
    </row>
    <row r="169" spans="1:73" ht="15">
      <c r="A169" s="13" t="s">
        <v>24</v>
      </c>
      <c r="B169" s="37" t="s">
        <v>65</v>
      </c>
      <c r="C169" s="35"/>
      <c r="D169" s="35"/>
      <c r="E169" s="42">
        <f>пар!B82</f>
        <v>5000</v>
      </c>
      <c r="F169" s="35">
        <f>E169</f>
        <v>5000</v>
      </c>
      <c r="G169" s="35">
        <f>E169</f>
        <v>5000</v>
      </c>
      <c r="H169" s="35">
        <f>E169</f>
        <v>5000</v>
      </c>
      <c r="I169" s="35">
        <f>H169</f>
        <v>5000</v>
      </c>
      <c r="J169" s="35">
        <f t="shared" si="114"/>
        <v>5000</v>
      </c>
      <c r="K169" s="35">
        <f t="shared" si="114"/>
        <v>5000</v>
      </c>
      <c r="L169" s="35">
        <f t="shared" si="114"/>
        <v>5000</v>
      </c>
      <c r="M169" s="35">
        <f t="shared" si="114"/>
        <v>5000</v>
      </c>
      <c r="N169" s="35">
        <f t="shared" si="114"/>
        <v>5000</v>
      </c>
      <c r="O169" s="64">
        <f t="shared" si="111"/>
        <v>50000</v>
      </c>
      <c r="P169" s="35">
        <v>7000</v>
      </c>
      <c r="Q169" s="35">
        <v>7000</v>
      </c>
      <c r="R169" s="35">
        <v>7000</v>
      </c>
      <c r="S169" s="35">
        <v>7000</v>
      </c>
      <c r="T169" s="35">
        <v>7000</v>
      </c>
      <c r="U169" s="35">
        <v>7000</v>
      </c>
      <c r="V169" s="35">
        <v>7000</v>
      </c>
      <c r="W169" s="35">
        <v>7000</v>
      </c>
      <c r="X169" s="35">
        <v>7000</v>
      </c>
      <c r="Y169" s="35">
        <v>7000</v>
      </c>
      <c r="Z169" s="35">
        <v>7000</v>
      </c>
      <c r="AA169" s="208">
        <v>7000</v>
      </c>
      <c r="AB169" s="35">
        <f t="shared" si="113"/>
        <v>84000</v>
      </c>
      <c r="AC169" s="200"/>
      <c r="AD169" s="200"/>
      <c r="AE169" s="200"/>
      <c r="AF169" s="200"/>
      <c r="AG169" s="200"/>
      <c r="AH169" s="200"/>
      <c r="AI169" s="200"/>
      <c r="AJ169" s="200"/>
      <c r="AK169" s="200"/>
      <c r="AL169" s="200"/>
      <c r="AM169" s="200"/>
      <c r="AN169" s="200"/>
      <c r="AO169" s="200"/>
      <c r="AP169" s="200"/>
      <c r="AQ169" s="200"/>
      <c r="AR169" s="200"/>
      <c r="AS169" s="200"/>
      <c r="AT169" s="200"/>
      <c r="AU169" s="200"/>
      <c r="AV169" s="200"/>
      <c r="AW169" s="200"/>
      <c r="AX169" s="200"/>
      <c r="AY169" s="200"/>
      <c r="AZ169" s="200"/>
      <c r="BA169" s="200"/>
      <c r="BB169" s="200"/>
      <c r="BC169" s="200"/>
      <c r="BD169" s="200"/>
      <c r="BE169" s="200"/>
      <c r="BF169" s="200"/>
      <c r="BG169" s="200"/>
      <c r="BH169" s="200"/>
      <c r="BI169" s="200"/>
      <c r="BJ169" s="200"/>
      <c r="BK169" s="200"/>
      <c r="BL169" s="200"/>
      <c r="BM169" s="200"/>
      <c r="BN169" s="200"/>
      <c r="BO169" s="200"/>
      <c r="BP169" s="200"/>
      <c r="BQ169" s="200"/>
      <c r="BR169" s="200"/>
      <c r="BS169" s="200"/>
      <c r="BT169" s="200"/>
      <c r="BU169" s="200"/>
    </row>
    <row r="170" spans="1:73" ht="13.5">
      <c r="A170" s="86" t="s">
        <v>25</v>
      </c>
      <c r="B170" s="77">
        <f aca="true" t="shared" si="115" ref="B170:AA170">SUM(B171:B172)</f>
        <v>0</v>
      </c>
      <c r="C170" s="87">
        <f t="shared" si="115"/>
        <v>6465.4965</v>
      </c>
      <c r="D170" s="87">
        <f t="shared" si="115"/>
        <v>7334.691749999999</v>
      </c>
      <c r="E170" s="87">
        <f t="shared" si="115"/>
        <v>15254.8821</v>
      </c>
      <c r="F170" s="87">
        <f t="shared" si="115"/>
        <v>12996.801900000002</v>
      </c>
      <c r="G170" s="87">
        <f t="shared" si="115"/>
        <v>13601.8521</v>
      </c>
      <c r="H170" s="87">
        <f t="shared" si="115"/>
        <v>19746.876599999996</v>
      </c>
      <c r="I170" s="87">
        <f t="shared" si="115"/>
        <v>15091.901099999997</v>
      </c>
      <c r="J170" s="87">
        <f t="shared" si="115"/>
        <v>15836.925599999999</v>
      </c>
      <c r="K170" s="87">
        <f t="shared" si="115"/>
        <v>21981.950100000002</v>
      </c>
      <c r="L170" s="87">
        <f t="shared" si="115"/>
        <v>17326.9746</v>
      </c>
      <c r="M170" s="87">
        <f t="shared" si="115"/>
        <v>18071.999099999997</v>
      </c>
      <c r="N170" s="88">
        <f t="shared" si="115"/>
        <v>24217.0236</v>
      </c>
      <c r="O170" s="88">
        <f t="shared" si="111"/>
        <v>187927.37504999997</v>
      </c>
      <c r="P170" s="87">
        <f t="shared" si="115"/>
        <v>20282.048099999996</v>
      </c>
      <c r="Q170" s="87">
        <f t="shared" si="115"/>
        <v>21027.0726</v>
      </c>
      <c r="R170" s="87">
        <f t="shared" si="115"/>
        <v>27172.097099999995</v>
      </c>
      <c r="S170" s="87">
        <f t="shared" si="115"/>
        <v>22517.1216</v>
      </c>
      <c r="T170" s="87">
        <f t="shared" si="115"/>
        <v>23262.146099999998</v>
      </c>
      <c r="U170" s="87">
        <f t="shared" si="115"/>
        <v>29407.170599999998</v>
      </c>
      <c r="V170" s="87">
        <f t="shared" si="115"/>
        <v>24752.1951</v>
      </c>
      <c r="W170" s="87">
        <f t="shared" si="115"/>
        <v>25497.219599999993</v>
      </c>
      <c r="X170" s="87">
        <f t="shared" si="115"/>
        <v>31642.2441</v>
      </c>
      <c r="Y170" s="87">
        <f t="shared" si="115"/>
        <v>26987.268599999996</v>
      </c>
      <c r="Z170" s="87">
        <f t="shared" si="115"/>
        <v>27732.293099999995</v>
      </c>
      <c r="AA170" s="87">
        <f t="shared" si="115"/>
        <v>33877.317599999995</v>
      </c>
      <c r="AB170" s="224">
        <f t="shared" si="113"/>
        <v>314156.1942</v>
      </c>
      <c r="AC170" s="200"/>
      <c r="AD170" s="200"/>
      <c r="AE170" s="200"/>
      <c r="AF170" s="200"/>
      <c r="AG170" s="200"/>
      <c r="AH170" s="200"/>
      <c r="AI170" s="200"/>
      <c r="AJ170" s="200"/>
      <c r="AK170" s="200"/>
      <c r="AL170" s="200"/>
      <c r="AM170" s="200"/>
      <c r="AN170" s="200"/>
      <c r="AO170" s="200"/>
      <c r="AP170" s="200"/>
      <c r="AQ170" s="200"/>
      <c r="AR170" s="200"/>
      <c r="AS170" s="200"/>
      <c r="AT170" s="200"/>
      <c r="AU170" s="200"/>
      <c r="AV170" s="200"/>
      <c r="AW170" s="200"/>
      <c r="AX170" s="200"/>
      <c r="AY170" s="200"/>
      <c r="AZ170" s="200"/>
      <c r="BA170" s="200"/>
      <c r="BB170" s="200"/>
      <c r="BC170" s="200"/>
      <c r="BD170" s="200"/>
      <c r="BE170" s="200"/>
      <c r="BF170" s="200"/>
      <c r="BG170" s="200"/>
      <c r="BH170" s="200"/>
      <c r="BI170" s="200"/>
      <c r="BJ170" s="200"/>
      <c r="BK170" s="200"/>
      <c r="BL170" s="200"/>
      <c r="BM170" s="200"/>
      <c r="BN170" s="200"/>
      <c r="BO170" s="200"/>
      <c r="BP170" s="200"/>
      <c r="BQ170" s="200"/>
      <c r="BR170" s="200"/>
      <c r="BS170" s="200"/>
      <c r="BT170" s="200"/>
      <c r="BU170" s="200"/>
    </row>
    <row r="171" spans="1:73" ht="13.5">
      <c r="A171" s="13" t="s">
        <v>26</v>
      </c>
      <c r="B171" s="13"/>
      <c r="C171" s="35"/>
      <c r="D171" s="35"/>
      <c r="E171" s="35">
        <v>5400</v>
      </c>
      <c r="F171" s="35"/>
      <c r="G171" s="35"/>
      <c r="H171" s="35">
        <v>5400</v>
      </c>
      <c r="I171" s="35"/>
      <c r="J171" s="35"/>
      <c r="K171" s="35">
        <v>5400</v>
      </c>
      <c r="L171" s="35"/>
      <c r="M171" s="35"/>
      <c r="N171" s="35">
        <v>5400</v>
      </c>
      <c r="O171" s="64">
        <f t="shared" si="111"/>
        <v>21600</v>
      </c>
      <c r="P171" s="35"/>
      <c r="Q171" s="35"/>
      <c r="R171" s="35">
        <v>5400</v>
      </c>
      <c r="S171" s="35"/>
      <c r="T171" s="35"/>
      <c r="U171" s="35">
        <v>5400</v>
      </c>
      <c r="V171" s="35"/>
      <c r="W171" s="35"/>
      <c r="X171" s="35">
        <v>5400</v>
      </c>
      <c r="Y171" s="35"/>
      <c r="Z171" s="35"/>
      <c r="AA171" s="35">
        <v>5400</v>
      </c>
      <c r="AB171" s="35">
        <f t="shared" si="113"/>
        <v>21600</v>
      </c>
      <c r="AC171" s="200"/>
      <c r="AD171" s="200"/>
      <c r="AE171" s="200"/>
      <c r="AF171" s="200"/>
      <c r="AG171" s="200"/>
      <c r="AH171" s="200"/>
      <c r="AI171" s="200"/>
      <c r="AJ171" s="200"/>
      <c r="AK171" s="200"/>
      <c r="AL171" s="200"/>
      <c r="AM171" s="200"/>
      <c r="AN171" s="200"/>
      <c r="AO171" s="200"/>
      <c r="AP171" s="200"/>
      <c r="AQ171" s="200"/>
      <c r="AR171" s="200"/>
      <c r="AS171" s="200"/>
      <c r="AT171" s="200"/>
      <c r="AU171" s="200"/>
      <c r="AV171" s="200"/>
      <c r="AW171" s="200"/>
      <c r="AX171" s="200"/>
      <c r="AY171" s="200"/>
      <c r="AZ171" s="200"/>
      <c r="BA171" s="200"/>
      <c r="BB171" s="200"/>
      <c r="BC171" s="200"/>
      <c r="BD171" s="200"/>
      <c r="BE171" s="200"/>
      <c r="BF171" s="200"/>
      <c r="BG171" s="200"/>
      <c r="BH171" s="200"/>
      <c r="BI171" s="200"/>
      <c r="BJ171" s="200"/>
      <c r="BK171" s="200"/>
      <c r="BL171" s="200"/>
      <c r="BM171" s="200"/>
      <c r="BN171" s="200"/>
      <c r="BO171" s="200"/>
      <c r="BP171" s="200"/>
      <c r="BQ171" s="200"/>
      <c r="BR171" s="200"/>
      <c r="BS171" s="200"/>
      <c r="BT171" s="200"/>
      <c r="BU171" s="200"/>
    </row>
    <row r="172" spans="1:73" ht="15" thickBot="1">
      <c r="A172" s="13" t="s">
        <v>27</v>
      </c>
      <c r="B172" s="13"/>
      <c r="C172" s="35">
        <f>C161*0.36</f>
        <v>6465.4965</v>
      </c>
      <c r="D172" s="35">
        <f aca="true" t="shared" si="116" ref="D172:AA172">D161*0.36</f>
        <v>7334.691749999999</v>
      </c>
      <c r="E172" s="35">
        <f t="shared" si="116"/>
        <v>9854.8821</v>
      </c>
      <c r="F172" s="35">
        <f t="shared" si="116"/>
        <v>12996.801900000002</v>
      </c>
      <c r="G172" s="35">
        <f t="shared" si="116"/>
        <v>13601.8521</v>
      </c>
      <c r="H172" s="35">
        <f t="shared" si="116"/>
        <v>14346.876599999998</v>
      </c>
      <c r="I172" s="35">
        <f t="shared" si="116"/>
        <v>15091.901099999997</v>
      </c>
      <c r="J172" s="35">
        <f t="shared" si="116"/>
        <v>15836.925599999999</v>
      </c>
      <c r="K172" s="35">
        <f t="shared" si="116"/>
        <v>16581.950100000002</v>
      </c>
      <c r="L172" s="35">
        <f t="shared" si="116"/>
        <v>17326.9746</v>
      </c>
      <c r="M172" s="35">
        <f t="shared" si="116"/>
        <v>18071.999099999997</v>
      </c>
      <c r="N172" s="35">
        <f t="shared" si="116"/>
        <v>18817.0236</v>
      </c>
      <c r="O172" s="64">
        <f t="shared" si="111"/>
        <v>166327.37504999997</v>
      </c>
      <c r="P172" s="35">
        <f t="shared" si="116"/>
        <v>20282.048099999996</v>
      </c>
      <c r="Q172" s="35">
        <f t="shared" si="116"/>
        <v>21027.0726</v>
      </c>
      <c r="R172" s="35">
        <f t="shared" si="116"/>
        <v>21772.097099999995</v>
      </c>
      <c r="S172" s="35">
        <f t="shared" si="116"/>
        <v>22517.1216</v>
      </c>
      <c r="T172" s="35">
        <f t="shared" si="116"/>
        <v>23262.146099999998</v>
      </c>
      <c r="U172" s="35">
        <f t="shared" si="116"/>
        <v>24007.170599999998</v>
      </c>
      <c r="V172" s="35">
        <f t="shared" si="116"/>
        <v>24752.1951</v>
      </c>
      <c r="W172" s="35">
        <f t="shared" si="116"/>
        <v>25497.219599999993</v>
      </c>
      <c r="X172" s="35">
        <f t="shared" si="116"/>
        <v>26242.2441</v>
      </c>
      <c r="Y172" s="35">
        <f t="shared" si="116"/>
        <v>26987.268599999996</v>
      </c>
      <c r="Z172" s="35">
        <f t="shared" si="116"/>
        <v>27732.293099999995</v>
      </c>
      <c r="AA172" s="208">
        <f t="shared" si="116"/>
        <v>28477.3176</v>
      </c>
      <c r="AB172" s="35">
        <f t="shared" si="113"/>
        <v>292556.1942</v>
      </c>
      <c r="AC172" s="200"/>
      <c r="AD172" s="200"/>
      <c r="AE172" s="200"/>
      <c r="AF172" s="200"/>
      <c r="AG172" s="200"/>
      <c r="AH172" s="200"/>
      <c r="AI172" s="200"/>
      <c r="AJ172" s="200"/>
      <c r="AK172" s="200"/>
      <c r="AL172" s="200"/>
      <c r="AM172" s="200"/>
      <c r="AN172" s="200"/>
      <c r="AO172" s="200"/>
      <c r="AP172" s="200"/>
      <c r="AQ172" s="200"/>
      <c r="AR172" s="200"/>
      <c r="AS172" s="200"/>
      <c r="AT172" s="200"/>
      <c r="AU172" s="200"/>
      <c r="AV172" s="200"/>
      <c r="AW172" s="200"/>
      <c r="AX172" s="200"/>
      <c r="AY172" s="200"/>
      <c r="AZ172" s="200"/>
      <c r="BA172" s="200"/>
      <c r="BB172" s="200"/>
      <c r="BC172" s="200"/>
      <c r="BD172" s="200"/>
      <c r="BE172" s="200"/>
      <c r="BF172" s="200"/>
      <c r="BG172" s="200"/>
      <c r="BH172" s="200"/>
      <c r="BI172" s="200"/>
      <c r="BJ172" s="200"/>
      <c r="BK172" s="200"/>
      <c r="BL172" s="200"/>
      <c r="BM172" s="200"/>
      <c r="BN172" s="200"/>
      <c r="BO172" s="200"/>
      <c r="BP172" s="200"/>
      <c r="BQ172" s="200"/>
      <c r="BR172" s="200"/>
      <c r="BS172" s="200"/>
      <c r="BT172" s="200"/>
      <c r="BU172" s="200"/>
    </row>
    <row r="173" spans="1:73" ht="25.5">
      <c r="A173" s="94" t="s">
        <v>98</v>
      </c>
      <c r="B173" s="366" t="s">
        <v>28</v>
      </c>
      <c r="C173" s="95" t="s">
        <v>29</v>
      </c>
      <c r="D173" s="95" t="s">
        <v>30</v>
      </c>
      <c r="E173" s="95" t="s">
        <v>31</v>
      </c>
      <c r="F173" s="95" t="s">
        <v>32</v>
      </c>
      <c r="G173" s="95" t="s">
        <v>33</v>
      </c>
      <c r="H173" s="95" t="s">
        <v>34</v>
      </c>
      <c r="I173" s="95" t="s">
        <v>35</v>
      </c>
      <c r="J173" s="95" t="s">
        <v>36</v>
      </c>
      <c r="K173" s="95" t="s">
        <v>37</v>
      </c>
      <c r="L173" s="95" t="s">
        <v>38</v>
      </c>
      <c r="M173" s="95" t="s">
        <v>39</v>
      </c>
      <c r="N173" s="95" t="s">
        <v>40</v>
      </c>
      <c r="O173" s="360" t="s">
        <v>94</v>
      </c>
      <c r="P173" s="95" t="s">
        <v>53</v>
      </c>
      <c r="Q173" s="95" t="s">
        <v>54</v>
      </c>
      <c r="R173" s="95" t="s">
        <v>55</v>
      </c>
      <c r="S173" s="95" t="s">
        <v>56</v>
      </c>
      <c r="T173" s="95" t="s">
        <v>57</v>
      </c>
      <c r="U173" s="95" t="s">
        <v>58</v>
      </c>
      <c r="V173" s="95" t="s">
        <v>59</v>
      </c>
      <c r="W173" s="95" t="s">
        <v>60</v>
      </c>
      <c r="X173" s="95" t="s">
        <v>61</v>
      </c>
      <c r="Y173" s="95" t="s">
        <v>62</v>
      </c>
      <c r="Z173" s="95" t="s">
        <v>63</v>
      </c>
      <c r="AA173" s="221" t="s">
        <v>97</v>
      </c>
      <c r="AB173" s="368" t="s">
        <v>95</v>
      </c>
      <c r="AC173" s="200"/>
      <c r="AD173" s="200"/>
      <c r="AE173" s="200"/>
      <c r="AF173" s="200"/>
      <c r="AG173" s="200"/>
      <c r="AH173" s="200"/>
      <c r="AI173" s="200"/>
      <c r="AJ173" s="200"/>
      <c r="AK173" s="200"/>
      <c r="AL173" s="200"/>
      <c r="AM173" s="200"/>
      <c r="AN173" s="200"/>
      <c r="AO173" s="200"/>
      <c r="AP173" s="200"/>
      <c r="AQ173" s="200"/>
      <c r="AR173" s="200"/>
      <c r="AS173" s="200"/>
      <c r="AT173" s="200"/>
      <c r="AU173" s="200"/>
      <c r="AV173" s="200"/>
      <c r="AW173" s="200"/>
      <c r="AX173" s="200"/>
      <c r="AY173" s="200"/>
      <c r="AZ173" s="200"/>
      <c r="BA173" s="200"/>
      <c r="BB173" s="200"/>
      <c r="BC173" s="200"/>
      <c r="BD173" s="200"/>
      <c r="BE173" s="200"/>
      <c r="BF173" s="200"/>
      <c r="BG173" s="200"/>
      <c r="BH173" s="200"/>
      <c r="BI173" s="200"/>
      <c r="BJ173" s="200"/>
      <c r="BK173" s="200"/>
      <c r="BL173" s="200"/>
      <c r="BM173" s="200"/>
      <c r="BN173" s="200"/>
      <c r="BO173" s="200"/>
      <c r="BP173" s="200"/>
      <c r="BQ173" s="200"/>
      <c r="BR173" s="200"/>
      <c r="BS173" s="200"/>
      <c r="BT173" s="200"/>
      <c r="BU173" s="200"/>
    </row>
    <row r="174" spans="1:73" ht="13.5">
      <c r="A174" s="96"/>
      <c r="B174" s="36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361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222"/>
      <c r="AB174" s="369"/>
      <c r="AC174" s="200"/>
      <c r="AD174" s="200"/>
      <c r="AE174" s="200"/>
      <c r="AF174" s="200"/>
      <c r="AG174" s="200"/>
      <c r="AH174" s="200"/>
      <c r="AI174" s="200"/>
      <c r="AJ174" s="200"/>
      <c r="AK174" s="200"/>
      <c r="AL174" s="200"/>
      <c r="AM174" s="200"/>
      <c r="AN174" s="200"/>
      <c r="AO174" s="200"/>
      <c r="AP174" s="200"/>
      <c r="AQ174" s="200"/>
      <c r="AR174" s="200"/>
      <c r="AS174" s="200"/>
      <c r="AT174" s="200"/>
      <c r="AU174" s="200"/>
      <c r="AV174" s="200"/>
      <c r="AW174" s="200"/>
      <c r="AX174" s="200"/>
      <c r="AY174" s="200"/>
      <c r="AZ174" s="200"/>
      <c r="BA174" s="200"/>
      <c r="BB174" s="200"/>
      <c r="BC174" s="200"/>
      <c r="BD174" s="200"/>
      <c r="BE174" s="200"/>
      <c r="BF174" s="200"/>
      <c r="BG174" s="200"/>
      <c r="BH174" s="200"/>
      <c r="BI174" s="200"/>
      <c r="BJ174" s="200"/>
      <c r="BK174" s="200"/>
      <c r="BL174" s="200"/>
      <c r="BM174" s="200"/>
      <c r="BN174" s="200"/>
      <c r="BO174" s="200"/>
      <c r="BP174" s="200"/>
      <c r="BQ174" s="200"/>
      <c r="BR174" s="200"/>
      <c r="BS174" s="200"/>
      <c r="BT174" s="200"/>
      <c r="BU174" s="200"/>
    </row>
    <row r="175" spans="1:73" ht="13.5">
      <c r="A175" s="100" t="s">
        <v>42</v>
      </c>
      <c r="B175" s="47"/>
      <c r="C175" s="48">
        <f aca="true" t="shared" si="117" ref="C175:AB175">C170+C161+C159+C158+C157+C152+C151+C149+C148+C147+C146+C142</f>
        <v>99722.12150000001</v>
      </c>
      <c r="D175" s="48">
        <f t="shared" si="117"/>
        <v>108317.49675</v>
      </c>
      <c r="E175" s="48">
        <f t="shared" si="117"/>
        <v>127639.3791</v>
      </c>
      <c r="F175" s="48">
        <f t="shared" si="117"/>
        <v>120840.14315000002</v>
      </c>
      <c r="G175" s="48">
        <f t="shared" si="117"/>
        <v>123966.23585</v>
      </c>
      <c r="H175" s="48">
        <f t="shared" si="117"/>
        <v>133215.52909999999</v>
      </c>
      <c r="I175" s="48">
        <f t="shared" si="117"/>
        <v>131664.82234999997</v>
      </c>
      <c r="J175" s="48">
        <f t="shared" si="117"/>
        <v>135514.1156</v>
      </c>
      <c r="K175" s="48">
        <f t="shared" si="117"/>
        <v>144763.40885</v>
      </c>
      <c r="L175" s="48">
        <f t="shared" si="117"/>
        <v>143212.7021</v>
      </c>
      <c r="M175" s="48">
        <f t="shared" si="117"/>
        <v>147061.99534999998</v>
      </c>
      <c r="N175" s="48">
        <f t="shared" si="117"/>
        <v>156311.2886</v>
      </c>
      <c r="O175" s="48">
        <f t="shared" si="117"/>
        <v>1584935.61705</v>
      </c>
      <c r="P175" s="48">
        <f t="shared" si="117"/>
        <v>205580.58185</v>
      </c>
      <c r="Q175" s="48">
        <f t="shared" si="117"/>
        <v>198629.8751</v>
      </c>
      <c r="R175" s="48">
        <f t="shared" si="117"/>
        <v>207879.16835</v>
      </c>
      <c r="S175" s="48">
        <f t="shared" si="117"/>
        <v>206328.46159999998</v>
      </c>
      <c r="T175" s="48">
        <f t="shared" si="117"/>
        <v>210177.75485</v>
      </c>
      <c r="U175" s="48">
        <f t="shared" si="117"/>
        <v>219427.04809999999</v>
      </c>
      <c r="V175" s="48">
        <f t="shared" si="117"/>
        <v>217876.34135</v>
      </c>
      <c r="W175" s="48">
        <f t="shared" si="117"/>
        <v>221725.63459999996</v>
      </c>
      <c r="X175" s="48">
        <f t="shared" si="117"/>
        <v>230974.92785</v>
      </c>
      <c r="Y175" s="48">
        <f t="shared" si="117"/>
        <v>229424.2211</v>
      </c>
      <c r="Z175" s="48">
        <f t="shared" si="117"/>
        <v>233273.51434999998</v>
      </c>
      <c r="AA175" s="212">
        <f t="shared" si="117"/>
        <v>242522.8076</v>
      </c>
      <c r="AB175" s="48">
        <f t="shared" si="117"/>
        <v>4127593.0906999996</v>
      </c>
      <c r="AC175" s="200"/>
      <c r="AD175" s="200"/>
      <c r="AE175" s="200"/>
      <c r="AF175" s="200"/>
      <c r="AG175" s="200"/>
      <c r="AH175" s="200"/>
      <c r="AI175" s="200"/>
      <c r="AJ175" s="200"/>
      <c r="AK175" s="200"/>
      <c r="AL175" s="200"/>
      <c r="AM175" s="200"/>
      <c r="AN175" s="200"/>
      <c r="AO175" s="200"/>
      <c r="AP175" s="200"/>
      <c r="AQ175" s="200"/>
      <c r="AR175" s="200"/>
      <c r="AS175" s="200"/>
      <c r="AT175" s="200"/>
      <c r="AU175" s="200"/>
      <c r="AV175" s="200"/>
      <c r="AW175" s="200"/>
      <c r="AX175" s="200"/>
      <c r="AY175" s="200"/>
      <c r="AZ175" s="200"/>
      <c r="BA175" s="200"/>
      <c r="BB175" s="200"/>
      <c r="BC175" s="200"/>
      <c r="BD175" s="200"/>
      <c r="BE175" s="200"/>
      <c r="BF175" s="200"/>
      <c r="BG175" s="200"/>
      <c r="BH175" s="200"/>
      <c r="BI175" s="200"/>
      <c r="BJ175" s="200"/>
      <c r="BK175" s="200"/>
      <c r="BL175" s="200"/>
      <c r="BM175" s="200"/>
      <c r="BN175" s="200"/>
      <c r="BO175" s="200"/>
      <c r="BP175" s="200"/>
      <c r="BQ175" s="200"/>
      <c r="BR175" s="200"/>
      <c r="BS175" s="200"/>
      <c r="BT175" s="200"/>
      <c r="BU175" s="200"/>
    </row>
    <row r="176" spans="1:73" ht="13.5">
      <c r="A176" s="100" t="s">
        <v>96</v>
      </c>
      <c r="B176" s="47"/>
      <c r="C176" s="48">
        <f aca="true" t="shared" si="118" ref="C176:AB176">C122-C175</f>
        <v>-26952.62150000001</v>
      </c>
      <c r="D176" s="48">
        <f t="shared" si="118"/>
        <v>-3238.39675</v>
      </c>
      <c r="E176" s="48">
        <f t="shared" si="118"/>
        <v>4611.220900000029</v>
      </c>
      <c r="F176" s="48">
        <f t="shared" si="118"/>
        <v>20781.60685000004</v>
      </c>
      <c r="G176" s="48">
        <f t="shared" si="118"/>
        <v>33936.66414999997</v>
      </c>
      <c r="H176" s="48">
        <f t="shared" si="118"/>
        <v>43381.87089999998</v>
      </c>
      <c r="I176" s="48">
        <f t="shared" si="118"/>
        <v>63627.07764999999</v>
      </c>
      <c r="J176" s="48">
        <f t="shared" si="118"/>
        <v>78472.28439999997</v>
      </c>
      <c r="K176" s="48">
        <f t="shared" si="118"/>
        <v>87917.49114999996</v>
      </c>
      <c r="L176" s="48">
        <f t="shared" si="118"/>
        <v>108162.69789999997</v>
      </c>
      <c r="M176" s="48">
        <f t="shared" si="118"/>
        <v>123007.90464999998</v>
      </c>
      <c r="N176" s="48">
        <f t="shared" si="118"/>
        <v>132453.11139999997</v>
      </c>
      <c r="O176" s="48">
        <f t="shared" si="118"/>
        <v>653454.5329499994</v>
      </c>
      <c r="P176" s="48">
        <f t="shared" si="118"/>
        <v>-48777.68185000002</v>
      </c>
      <c r="Q176" s="48">
        <f t="shared" si="118"/>
        <v>-32326.141766666726</v>
      </c>
      <c r="R176" s="48">
        <f t="shared" si="118"/>
        <v>-31859.740572222276</v>
      </c>
      <c r="S176" s="48">
        <f t="shared" si="118"/>
        <v>-20360.573174074118</v>
      </c>
      <c r="T176" s="48">
        <f t="shared" si="118"/>
        <v>-14009.242388580256</v>
      </c>
      <c r="U176" s="48">
        <f t="shared" si="118"/>
        <v>-12784.734600128577</v>
      </c>
      <c r="V176" s="48">
        <f t="shared" si="118"/>
        <v>-464.2850584726548</v>
      </c>
      <c r="W176" s="48">
        <f t="shared" si="118"/>
        <v>6776.768049154634</v>
      </c>
      <c r="X176" s="48">
        <f t="shared" si="118"/>
        <v>8965.141686584131</v>
      </c>
      <c r="Y176" s="48">
        <f t="shared" si="118"/>
        <v>22329.77923129956</v>
      </c>
      <c r="Z176" s="48">
        <f t="shared" si="118"/>
        <v>30702.03600890786</v>
      </c>
      <c r="AA176" s="212">
        <f t="shared" si="118"/>
        <v>34115.88028881687</v>
      </c>
      <c r="AB176" s="48">
        <f t="shared" si="118"/>
        <v>-672265.5481453817</v>
      </c>
      <c r="AC176" s="200"/>
      <c r="AD176" s="200"/>
      <c r="AE176" s="200"/>
      <c r="AF176" s="200"/>
      <c r="AG176" s="200"/>
      <c r="AH176" s="200"/>
      <c r="AI176" s="200"/>
      <c r="AJ176" s="200"/>
      <c r="AK176" s="200"/>
      <c r="AL176" s="200"/>
      <c r="AM176" s="200"/>
      <c r="AN176" s="200"/>
      <c r="AO176" s="200"/>
      <c r="AP176" s="200"/>
      <c r="AQ176" s="200"/>
      <c r="AR176" s="200"/>
      <c r="AS176" s="200"/>
      <c r="AT176" s="200"/>
      <c r="AU176" s="200"/>
      <c r="AV176" s="200"/>
      <c r="AW176" s="200"/>
      <c r="AX176" s="200"/>
      <c r="AY176" s="200"/>
      <c r="AZ176" s="200"/>
      <c r="BA176" s="200"/>
      <c r="BB176" s="200"/>
      <c r="BC176" s="200"/>
      <c r="BD176" s="200"/>
      <c r="BE176" s="200"/>
      <c r="BF176" s="200"/>
      <c r="BG176" s="200"/>
      <c r="BH176" s="200"/>
      <c r="BI176" s="200"/>
      <c r="BJ176" s="200"/>
      <c r="BK176" s="200"/>
      <c r="BL176" s="200"/>
      <c r="BM176" s="200"/>
      <c r="BN176" s="200"/>
      <c r="BO176" s="200"/>
      <c r="BP176" s="200"/>
      <c r="BQ176" s="200"/>
      <c r="BR176" s="200"/>
      <c r="BS176" s="200"/>
      <c r="BT176" s="200"/>
      <c r="BU176" s="200"/>
    </row>
    <row r="177" spans="1:73" ht="28.5">
      <c r="A177" s="101" t="s">
        <v>99</v>
      </c>
      <c r="B177" s="102"/>
      <c r="C177" s="103">
        <f>C176-C133</f>
        <v>-1038952.6215</v>
      </c>
      <c r="D177" s="103">
        <f>C177+D176</f>
        <v>-1042191.01825</v>
      </c>
      <c r="E177" s="103">
        <f>D177+E176</f>
        <v>-1037579.7973499999</v>
      </c>
      <c r="F177" s="103">
        <f aca="true" t="shared" si="119" ref="F177:N177">E177+F176</f>
        <v>-1016798.1904999998</v>
      </c>
      <c r="G177" s="103">
        <f t="shared" si="119"/>
        <v>-982861.5263499998</v>
      </c>
      <c r="H177" s="103">
        <f t="shared" si="119"/>
        <v>-939479.6554499998</v>
      </c>
      <c r="I177" s="103">
        <f t="shared" si="119"/>
        <v>-875852.5777999999</v>
      </c>
      <c r="J177" s="103">
        <f t="shared" si="119"/>
        <v>-797380.2933999998</v>
      </c>
      <c r="K177" s="103">
        <f t="shared" si="119"/>
        <v>-709462.80225</v>
      </c>
      <c r="L177" s="103">
        <f t="shared" si="119"/>
        <v>-601300.1043499999</v>
      </c>
      <c r="M177" s="103">
        <f t="shared" si="119"/>
        <v>-478292.19969999994</v>
      </c>
      <c r="N177" s="103">
        <f t="shared" si="119"/>
        <v>-345839.08829999994</v>
      </c>
      <c r="O177" s="104">
        <f>N177</f>
        <v>-345839.08829999994</v>
      </c>
      <c r="P177" s="103">
        <f>N177+P176</f>
        <v>-394616.77015</v>
      </c>
      <c r="Q177" s="103">
        <f>P177+Q176</f>
        <v>-426942.9119166667</v>
      </c>
      <c r="R177" s="103">
        <f aca="true" t="shared" si="120" ref="R177:AA177">Q177+R176</f>
        <v>-458802.652488889</v>
      </c>
      <c r="S177" s="103">
        <f t="shared" si="120"/>
        <v>-479163.2256629631</v>
      </c>
      <c r="T177" s="103">
        <f t="shared" si="120"/>
        <v>-493172.46805154334</v>
      </c>
      <c r="U177" s="103">
        <f t="shared" si="120"/>
        <v>-505957.20265167195</v>
      </c>
      <c r="V177" s="103">
        <f t="shared" si="120"/>
        <v>-506421.4877101446</v>
      </c>
      <c r="W177" s="103">
        <f t="shared" si="120"/>
        <v>-499644.71966098994</v>
      </c>
      <c r="X177" s="103">
        <f t="shared" si="120"/>
        <v>-490679.57797440584</v>
      </c>
      <c r="Y177" s="103">
        <f t="shared" si="120"/>
        <v>-468349.7987431063</v>
      </c>
      <c r="Z177" s="103">
        <f t="shared" si="120"/>
        <v>-437647.7627341985</v>
      </c>
      <c r="AA177" s="213">
        <f t="shared" si="120"/>
        <v>-403531.8824453816</v>
      </c>
      <c r="AB177" s="225">
        <f>SUM(X177:AA177)</f>
        <v>-1800209.021897092</v>
      </c>
      <c r="AC177" s="200"/>
      <c r="AD177" s="200"/>
      <c r="AE177" s="200"/>
      <c r="AF177" s="200"/>
      <c r="AG177" s="200"/>
      <c r="AH177" s="200"/>
      <c r="AI177" s="200"/>
      <c r="AJ177" s="200"/>
      <c r="AK177" s="200"/>
      <c r="AL177" s="200"/>
      <c r="AM177" s="200"/>
      <c r="AN177" s="200"/>
      <c r="AO177" s="200"/>
      <c r="AP177" s="200"/>
      <c r="AQ177" s="200"/>
      <c r="AR177" s="200"/>
      <c r="AS177" s="200"/>
      <c r="AT177" s="200"/>
      <c r="AU177" s="200"/>
      <c r="AV177" s="200"/>
      <c r="AW177" s="200"/>
      <c r="AX177" s="200"/>
      <c r="AY177" s="200"/>
      <c r="AZ177" s="200"/>
      <c r="BA177" s="200"/>
      <c r="BB177" s="200"/>
      <c r="BC177" s="200"/>
      <c r="BD177" s="200"/>
      <c r="BE177" s="200"/>
      <c r="BF177" s="200"/>
      <c r="BG177" s="200"/>
      <c r="BH177" s="200"/>
      <c r="BI177" s="200"/>
      <c r="BJ177" s="200"/>
      <c r="BK177" s="200"/>
      <c r="BL177" s="200"/>
      <c r="BM177" s="200"/>
      <c r="BN177" s="200"/>
      <c r="BO177" s="200"/>
      <c r="BP177" s="200"/>
      <c r="BQ177" s="200"/>
      <c r="BR177" s="200"/>
      <c r="BS177" s="200"/>
      <c r="BT177" s="200"/>
      <c r="BU177" s="200"/>
    </row>
    <row r="178" spans="1:73" ht="13.5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6"/>
      <c r="O178" s="106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200"/>
      <c r="AD178" s="200"/>
      <c r="AE178" s="200"/>
      <c r="AF178" s="200"/>
      <c r="AG178" s="200"/>
      <c r="AH178" s="200"/>
      <c r="AI178" s="200"/>
      <c r="AJ178" s="200"/>
      <c r="AK178" s="200"/>
      <c r="AL178" s="200"/>
      <c r="AM178" s="200"/>
      <c r="AN178" s="200"/>
      <c r="AO178" s="200"/>
      <c r="AP178" s="200"/>
      <c r="AQ178" s="200"/>
      <c r="AR178" s="200"/>
      <c r="AS178" s="200"/>
      <c r="AT178" s="200"/>
      <c r="AU178" s="200"/>
      <c r="AV178" s="200"/>
      <c r="AW178" s="200"/>
      <c r="AX178" s="200"/>
      <c r="AY178" s="200"/>
      <c r="AZ178" s="200"/>
      <c r="BA178" s="200"/>
      <c r="BB178" s="200"/>
      <c r="BC178" s="200"/>
      <c r="BD178" s="200"/>
      <c r="BE178" s="200"/>
      <c r="BF178" s="200"/>
      <c r="BG178" s="200"/>
      <c r="BH178" s="200"/>
      <c r="BI178" s="200"/>
      <c r="BJ178" s="200"/>
      <c r="BK178" s="200"/>
      <c r="BL178" s="200"/>
      <c r="BM178" s="200"/>
      <c r="BN178" s="200"/>
      <c r="BO178" s="200"/>
      <c r="BP178" s="200"/>
      <c r="BQ178" s="200"/>
      <c r="BR178" s="200"/>
      <c r="BS178" s="200"/>
      <c r="BT178" s="200"/>
      <c r="BU178" s="200"/>
    </row>
    <row r="179" spans="1:73" ht="15">
      <c r="A179" s="7" t="s">
        <v>183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34"/>
      <c r="O179" s="34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200"/>
      <c r="AD179" s="200"/>
      <c r="AE179" s="200"/>
      <c r="AF179" s="200"/>
      <c r="AG179" s="200"/>
      <c r="AH179" s="200"/>
      <c r="AI179" s="200"/>
      <c r="AJ179" s="200"/>
      <c r="AK179" s="200"/>
      <c r="AL179" s="200"/>
      <c r="AM179" s="200"/>
      <c r="AN179" s="200"/>
      <c r="AO179" s="200"/>
      <c r="AP179" s="200"/>
      <c r="AQ179" s="200"/>
      <c r="AR179" s="200"/>
      <c r="AS179" s="200"/>
      <c r="AT179" s="200"/>
      <c r="AU179" s="200"/>
      <c r="AV179" s="200"/>
      <c r="AW179" s="200"/>
      <c r="AX179" s="200"/>
      <c r="AY179" s="200"/>
      <c r="AZ179" s="200"/>
      <c r="BA179" s="200"/>
      <c r="BB179" s="200"/>
      <c r="BC179" s="200"/>
      <c r="BD179" s="200"/>
      <c r="BE179" s="200"/>
      <c r="BF179" s="200"/>
      <c r="BG179" s="200"/>
      <c r="BH179" s="200"/>
      <c r="BI179" s="200"/>
      <c r="BJ179" s="200"/>
      <c r="BK179" s="200"/>
      <c r="BL179" s="200"/>
      <c r="BM179" s="200"/>
      <c r="BN179" s="200"/>
      <c r="BO179" s="200"/>
      <c r="BP179" s="200"/>
      <c r="BQ179" s="200"/>
      <c r="BR179" s="200"/>
      <c r="BS179" s="200"/>
      <c r="BT179" s="200"/>
      <c r="BU179" s="200"/>
    </row>
    <row r="180" spans="1:73" ht="15">
      <c r="A180" s="28" t="s">
        <v>100</v>
      </c>
      <c r="B180" s="28"/>
      <c r="C180" s="109">
        <f>MIN(C177:N177,C133*-1)</f>
        <v>-1042191.01825</v>
      </c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34"/>
      <c r="O180" s="34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200"/>
      <c r="AD180" s="200"/>
      <c r="AE180" s="200"/>
      <c r="AF180" s="200"/>
      <c r="AG180" s="200"/>
      <c r="AH180" s="200"/>
      <c r="AI180" s="200"/>
      <c r="AJ180" s="200"/>
      <c r="AK180" s="200"/>
      <c r="AL180" s="200"/>
      <c r="AM180" s="200"/>
      <c r="AN180" s="200"/>
      <c r="AO180" s="200"/>
      <c r="AP180" s="200"/>
      <c r="AQ180" s="200"/>
      <c r="AR180" s="200"/>
      <c r="AS180" s="200"/>
      <c r="AT180" s="200"/>
      <c r="AU180" s="200"/>
      <c r="AV180" s="200"/>
      <c r="AW180" s="200"/>
      <c r="AX180" s="200"/>
      <c r="AY180" s="200"/>
      <c r="AZ180" s="200"/>
      <c r="BA180" s="200"/>
      <c r="BB180" s="200"/>
      <c r="BC180" s="200"/>
      <c r="BD180" s="200"/>
      <c r="BE180" s="200"/>
      <c r="BF180" s="200"/>
      <c r="BG180" s="200"/>
      <c r="BH180" s="200"/>
      <c r="BI180" s="200"/>
      <c r="BJ180" s="200"/>
      <c r="BK180" s="200"/>
      <c r="BL180" s="200"/>
      <c r="BM180" s="200"/>
      <c r="BN180" s="200"/>
      <c r="BO180" s="200"/>
      <c r="BP180" s="200"/>
      <c r="BQ180" s="200"/>
      <c r="BR180" s="200"/>
      <c r="BS180" s="200"/>
      <c r="BT180" s="200"/>
      <c r="BU180" s="200"/>
    </row>
    <row r="181" spans="1:73" ht="15">
      <c r="A181" s="28" t="s">
        <v>107</v>
      </c>
      <c r="B181" s="28"/>
      <c r="C181" s="108">
        <f>IF(H177&gt;0,H173,IF(I177&gt;0,I173,IF(J177&gt;0,J173,IF(K177&gt;0,K173,IF(L177&gt;0,L173,IF(M177&gt;0,M173,IF(N177&gt;0,N173,IF(P177&gt;0,P173,1))))))))</f>
        <v>1</v>
      </c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34"/>
      <c r="O181" s="34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200"/>
      <c r="AD181" s="200"/>
      <c r="AE181" s="200"/>
      <c r="AF181" s="200"/>
      <c r="AG181" s="200"/>
      <c r="AH181" s="200"/>
      <c r="AI181" s="200"/>
      <c r="AJ181" s="200"/>
      <c r="AK181" s="200"/>
      <c r="AL181" s="200"/>
      <c r="AM181" s="200"/>
      <c r="AN181" s="200"/>
      <c r="AO181" s="200"/>
      <c r="AP181" s="200"/>
      <c r="AQ181" s="200"/>
      <c r="AR181" s="200"/>
      <c r="AS181" s="200"/>
      <c r="AT181" s="200"/>
      <c r="AU181" s="200"/>
      <c r="AV181" s="200"/>
      <c r="AW181" s="200"/>
      <c r="AX181" s="200"/>
      <c r="AY181" s="200"/>
      <c r="AZ181" s="200"/>
      <c r="BA181" s="200"/>
      <c r="BB181" s="200"/>
      <c r="BC181" s="200"/>
      <c r="BD181" s="200"/>
      <c r="BE181" s="200"/>
      <c r="BF181" s="200"/>
      <c r="BG181" s="200"/>
      <c r="BH181" s="200"/>
      <c r="BI181" s="200"/>
      <c r="BJ181" s="200"/>
      <c r="BK181" s="200"/>
      <c r="BL181" s="200"/>
      <c r="BM181" s="200"/>
      <c r="BN181" s="200"/>
      <c r="BO181" s="200"/>
      <c r="BP181" s="200"/>
      <c r="BQ181" s="200"/>
      <c r="BR181" s="200"/>
      <c r="BS181" s="200"/>
      <c r="BT181" s="200"/>
      <c r="BU181" s="200"/>
    </row>
    <row r="182" spans="1:73" ht="13.5">
      <c r="A182" s="28" t="s">
        <v>106</v>
      </c>
      <c r="B182" s="28"/>
      <c r="C182" s="108" t="s">
        <v>182</v>
      </c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34"/>
      <c r="O182" s="34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200"/>
      <c r="AD182" s="200"/>
      <c r="AE182" s="200"/>
      <c r="AF182" s="200"/>
      <c r="AG182" s="200"/>
      <c r="AH182" s="200"/>
      <c r="AI182" s="200"/>
      <c r="AJ182" s="200"/>
      <c r="AK182" s="200"/>
      <c r="AL182" s="200"/>
      <c r="AM182" s="200"/>
      <c r="AN182" s="200"/>
      <c r="AO182" s="200"/>
      <c r="AP182" s="200"/>
      <c r="AQ182" s="200"/>
      <c r="AR182" s="200"/>
      <c r="AS182" s="200"/>
      <c r="AT182" s="200"/>
      <c r="AU182" s="200"/>
      <c r="AV182" s="200"/>
      <c r="AW182" s="200"/>
      <c r="AX182" s="200"/>
      <c r="AY182" s="200"/>
      <c r="AZ182" s="200"/>
      <c r="BA182" s="200"/>
      <c r="BB182" s="200"/>
      <c r="BC182" s="200"/>
      <c r="BD182" s="200"/>
      <c r="BE182" s="200"/>
      <c r="BF182" s="200"/>
      <c r="BG182" s="200"/>
      <c r="BH182" s="200"/>
      <c r="BI182" s="200"/>
      <c r="BJ182" s="200"/>
      <c r="BK182" s="200"/>
      <c r="BL182" s="200"/>
      <c r="BM182" s="200"/>
      <c r="BN182" s="200"/>
      <c r="BO182" s="200"/>
      <c r="BP182" s="200"/>
      <c r="BQ182" s="200"/>
      <c r="BR182" s="200"/>
      <c r="BS182" s="200"/>
      <c r="BT182" s="200"/>
      <c r="BU182" s="200"/>
    </row>
    <row r="183" spans="1:73" ht="13.5">
      <c r="A183" s="28"/>
      <c r="B183" s="28"/>
      <c r="C183" s="108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34"/>
      <c r="O183" s="34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200"/>
      <c r="AD183" s="200"/>
      <c r="AE183" s="200"/>
      <c r="AF183" s="200"/>
      <c r="AG183" s="200"/>
      <c r="AH183" s="200"/>
      <c r="AI183" s="200"/>
      <c r="AJ183" s="200"/>
      <c r="AK183" s="200"/>
      <c r="AL183" s="200"/>
      <c r="AM183" s="200"/>
      <c r="AN183" s="200"/>
      <c r="AO183" s="200"/>
      <c r="AP183" s="200"/>
      <c r="AQ183" s="200"/>
      <c r="AR183" s="200"/>
      <c r="AS183" s="200"/>
      <c r="AT183" s="200"/>
      <c r="AU183" s="200"/>
      <c r="AV183" s="200"/>
      <c r="AW183" s="200"/>
      <c r="AX183" s="200"/>
      <c r="AY183" s="200"/>
      <c r="AZ183" s="200"/>
      <c r="BA183" s="200"/>
      <c r="BB183" s="200"/>
      <c r="BC183" s="200"/>
      <c r="BD183" s="200"/>
      <c r="BE183" s="200"/>
      <c r="BF183" s="200"/>
      <c r="BG183" s="200"/>
      <c r="BH183" s="200"/>
      <c r="BI183" s="200"/>
      <c r="BJ183" s="200"/>
      <c r="BK183" s="200"/>
      <c r="BL183" s="200"/>
      <c r="BM183" s="200"/>
      <c r="BN183" s="200"/>
      <c r="BO183" s="200"/>
      <c r="BP183" s="200"/>
      <c r="BQ183" s="200"/>
      <c r="BR183" s="200"/>
      <c r="BS183" s="200"/>
      <c r="BT183" s="200"/>
      <c r="BU183" s="200"/>
    </row>
    <row r="184" spans="1:73" ht="13.5">
      <c r="A184" s="199"/>
      <c r="B184" s="199"/>
      <c r="C184" s="199"/>
      <c r="D184" s="199"/>
      <c r="E184" s="199"/>
      <c r="F184" s="199"/>
      <c r="G184" s="199"/>
      <c r="H184" s="199"/>
      <c r="I184" s="199"/>
      <c r="J184" s="200"/>
      <c r="K184" s="200"/>
      <c r="L184" s="7"/>
      <c r="M184" s="7"/>
      <c r="N184" s="34"/>
      <c r="O184" s="34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200"/>
      <c r="AD184" s="200"/>
      <c r="AE184" s="200"/>
      <c r="AF184" s="200"/>
      <c r="AG184" s="200"/>
      <c r="AH184" s="200"/>
      <c r="AI184" s="200"/>
      <c r="AJ184" s="200"/>
      <c r="AK184" s="200"/>
      <c r="AL184" s="200"/>
      <c r="AM184" s="200"/>
      <c r="AN184" s="200"/>
      <c r="AO184" s="200"/>
      <c r="AP184" s="200"/>
      <c r="AQ184" s="200"/>
      <c r="AR184" s="200"/>
      <c r="AS184" s="200"/>
      <c r="AT184" s="200"/>
      <c r="AU184" s="200"/>
      <c r="AV184" s="200"/>
      <c r="AW184" s="200"/>
      <c r="AX184" s="200"/>
      <c r="AY184" s="200"/>
      <c r="AZ184" s="200"/>
      <c r="BA184" s="200"/>
      <c r="BB184" s="200"/>
      <c r="BC184" s="200"/>
      <c r="BD184" s="200"/>
      <c r="BE184" s="200"/>
      <c r="BF184" s="200"/>
      <c r="BG184" s="200"/>
      <c r="BH184" s="200"/>
      <c r="BI184" s="200"/>
      <c r="BJ184" s="200"/>
      <c r="BK184" s="200"/>
      <c r="BL184" s="200"/>
      <c r="BM184" s="200"/>
      <c r="BN184" s="200"/>
      <c r="BO184" s="200"/>
      <c r="BP184" s="200"/>
      <c r="BQ184" s="200"/>
      <c r="BR184" s="200"/>
      <c r="BS184" s="200"/>
      <c r="BT184" s="200"/>
      <c r="BU184" s="200"/>
    </row>
    <row r="185" spans="1:73" ht="13.5">
      <c r="A185" s="201"/>
      <c r="B185" s="200"/>
      <c r="C185" s="200"/>
      <c r="D185" s="200"/>
      <c r="E185" s="200"/>
      <c r="F185" s="200"/>
      <c r="G185" s="200"/>
      <c r="H185" s="200"/>
      <c r="I185" s="200"/>
      <c r="J185" s="200"/>
      <c r="K185" s="200"/>
      <c r="L185" s="7"/>
      <c r="M185" s="7"/>
      <c r="N185" s="34"/>
      <c r="O185" s="34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200"/>
      <c r="AD185" s="200"/>
      <c r="AE185" s="200"/>
      <c r="AF185" s="200"/>
      <c r="AG185" s="200"/>
      <c r="AH185" s="200"/>
      <c r="AI185" s="200"/>
      <c r="AJ185" s="200"/>
      <c r="AK185" s="200"/>
      <c r="AL185" s="200"/>
      <c r="AM185" s="200"/>
      <c r="AN185" s="200"/>
      <c r="AO185" s="200"/>
      <c r="AP185" s="200"/>
      <c r="AQ185" s="200"/>
      <c r="AR185" s="200"/>
      <c r="AS185" s="200"/>
      <c r="AT185" s="200"/>
      <c r="AU185" s="200"/>
      <c r="AV185" s="200"/>
      <c r="AW185" s="200"/>
      <c r="AX185" s="200"/>
      <c r="AY185" s="200"/>
      <c r="AZ185" s="200"/>
      <c r="BA185" s="200"/>
      <c r="BB185" s="200"/>
      <c r="BC185" s="200"/>
      <c r="BD185" s="200"/>
      <c r="BE185" s="200"/>
      <c r="BF185" s="200"/>
      <c r="BG185" s="200"/>
      <c r="BH185" s="200"/>
      <c r="BI185" s="200"/>
      <c r="BJ185" s="200"/>
      <c r="BK185" s="200"/>
      <c r="BL185" s="200"/>
      <c r="BM185" s="200"/>
      <c r="BN185" s="200"/>
      <c r="BO185" s="200"/>
      <c r="BP185" s="200"/>
      <c r="BQ185" s="200"/>
      <c r="BR185" s="200"/>
      <c r="BS185" s="200"/>
      <c r="BT185" s="200"/>
      <c r="BU185" s="200"/>
    </row>
    <row r="186" spans="1:73" ht="13.5">
      <c r="A186" s="200"/>
      <c r="B186" s="200"/>
      <c r="C186" s="200"/>
      <c r="D186" s="200"/>
      <c r="E186" s="200"/>
      <c r="F186" s="200"/>
      <c r="G186" s="200"/>
      <c r="H186" s="200"/>
      <c r="I186" s="200"/>
      <c r="J186" s="200"/>
      <c r="K186" s="200"/>
      <c r="L186" s="7"/>
      <c r="M186" s="7"/>
      <c r="N186" s="34"/>
      <c r="O186" s="34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200"/>
      <c r="AD186" s="200"/>
      <c r="AE186" s="200"/>
      <c r="AF186" s="200"/>
      <c r="AG186" s="200"/>
      <c r="AH186" s="200"/>
      <c r="AI186" s="200"/>
      <c r="AJ186" s="200"/>
      <c r="AK186" s="200"/>
      <c r="AL186" s="200"/>
      <c r="AM186" s="200"/>
      <c r="AN186" s="200"/>
      <c r="AO186" s="200"/>
      <c r="AP186" s="200"/>
      <c r="AQ186" s="200"/>
      <c r="AR186" s="200"/>
      <c r="AS186" s="200"/>
      <c r="AT186" s="200"/>
      <c r="AU186" s="200"/>
      <c r="AV186" s="200"/>
      <c r="AW186" s="200"/>
      <c r="AX186" s="200"/>
      <c r="AY186" s="200"/>
      <c r="AZ186" s="200"/>
      <c r="BA186" s="200"/>
      <c r="BB186" s="200"/>
      <c r="BC186" s="200"/>
      <c r="BD186" s="200"/>
      <c r="BE186" s="200"/>
      <c r="BF186" s="200"/>
      <c r="BG186" s="200"/>
      <c r="BH186" s="200"/>
      <c r="BI186" s="200"/>
      <c r="BJ186" s="200"/>
      <c r="BK186" s="200"/>
      <c r="BL186" s="200"/>
      <c r="BM186" s="200"/>
      <c r="BN186" s="200"/>
      <c r="BO186" s="200"/>
      <c r="BP186" s="200"/>
      <c r="BQ186" s="200"/>
      <c r="BR186" s="200"/>
      <c r="BS186" s="200"/>
      <c r="BT186" s="200"/>
      <c r="BU186" s="200"/>
    </row>
    <row r="187" spans="1:73" ht="13.5">
      <c r="A187" s="200"/>
      <c r="B187" s="200"/>
      <c r="C187" s="200"/>
      <c r="D187" s="200"/>
      <c r="E187" s="200"/>
      <c r="F187" s="200"/>
      <c r="G187" s="200"/>
      <c r="H187" s="200"/>
      <c r="I187" s="200"/>
      <c r="J187" s="200"/>
      <c r="K187" s="200"/>
      <c r="L187" s="7"/>
      <c r="M187" s="7"/>
      <c r="N187" s="34"/>
      <c r="O187" s="34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200"/>
      <c r="AD187" s="200"/>
      <c r="AE187" s="200"/>
      <c r="AF187" s="200"/>
      <c r="AG187" s="200"/>
      <c r="AH187" s="200"/>
      <c r="AI187" s="200"/>
      <c r="AJ187" s="200"/>
      <c r="AK187" s="200"/>
      <c r="AL187" s="200"/>
      <c r="AM187" s="200"/>
      <c r="AN187" s="200"/>
      <c r="AO187" s="200"/>
      <c r="AP187" s="200"/>
      <c r="AQ187" s="200"/>
      <c r="AR187" s="200"/>
      <c r="AS187" s="200"/>
      <c r="AT187" s="200"/>
      <c r="AU187" s="200"/>
      <c r="AV187" s="200"/>
      <c r="AW187" s="200"/>
      <c r="AX187" s="200"/>
      <c r="AY187" s="200"/>
      <c r="AZ187" s="200"/>
      <c r="BA187" s="200"/>
      <c r="BB187" s="200"/>
      <c r="BC187" s="200"/>
      <c r="BD187" s="200"/>
      <c r="BE187" s="200"/>
      <c r="BF187" s="200"/>
      <c r="BG187" s="200"/>
      <c r="BH187" s="200"/>
      <c r="BI187" s="200"/>
      <c r="BJ187" s="200"/>
      <c r="BK187" s="200"/>
      <c r="BL187" s="200"/>
      <c r="BM187" s="200"/>
      <c r="BN187" s="200"/>
      <c r="BO187" s="200"/>
      <c r="BP187" s="200"/>
      <c r="BQ187" s="200"/>
      <c r="BR187" s="200"/>
      <c r="BS187" s="200"/>
      <c r="BT187" s="200"/>
      <c r="BU187" s="200"/>
    </row>
    <row r="188" spans="1:73" ht="13.5">
      <c r="A188" s="200"/>
      <c r="B188" s="200"/>
      <c r="C188" s="200"/>
      <c r="D188" s="200"/>
      <c r="E188" s="200"/>
      <c r="F188" s="200"/>
      <c r="G188" s="200"/>
      <c r="H188" s="200"/>
      <c r="I188" s="200"/>
      <c r="J188" s="200"/>
      <c r="K188" s="200"/>
      <c r="L188" s="7"/>
      <c r="M188" s="7"/>
      <c r="N188" s="34"/>
      <c r="O188" s="34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200"/>
      <c r="AD188" s="200"/>
      <c r="AE188" s="200"/>
      <c r="AF188" s="200"/>
      <c r="AG188" s="200"/>
      <c r="AH188" s="200"/>
      <c r="AI188" s="200"/>
      <c r="AJ188" s="200"/>
      <c r="AK188" s="200"/>
      <c r="AL188" s="200"/>
      <c r="AM188" s="200"/>
      <c r="AN188" s="200"/>
      <c r="AO188" s="200"/>
      <c r="AP188" s="200"/>
      <c r="AQ188" s="200"/>
      <c r="AR188" s="200"/>
      <c r="AS188" s="200"/>
      <c r="AT188" s="200"/>
      <c r="AU188" s="200"/>
      <c r="AV188" s="200"/>
      <c r="AW188" s="200"/>
      <c r="AX188" s="200"/>
      <c r="AY188" s="200"/>
      <c r="AZ188" s="200"/>
      <c r="BA188" s="200"/>
      <c r="BB188" s="200"/>
      <c r="BC188" s="200"/>
      <c r="BD188" s="200"/>
      <c r="BE188" s="200"/>
      <c r="BF188" s="200"/>
      <c r="BG188" s="200"/>
      <c r="BH188" s="200"/>
      <c r="BI188" s="200"/>
      <c r="BJ188" s="200"/>
      <c r="BK188" s="200"/>
      <c r="BL188" s="200"/>
      <c r="BM188" s="200"/>
      <c r="BN188" s="200"/>
      <c r="BO188" s="200"/>
      <c r="BP188" s="200"/>
      <c r="BQ188" s="200"/>
      <c r="BR188" s="200"/>
      <c r="BS188" s="200"/>
      <c r="BT188" s="200"/>
      <c r="BU188" s="200"/>
    </row>
    <row r="189" spans="1:73" ht="13.5">
      <c r="A189" s="200"/>
      <c r="B189" s="200"/>
      <c r="C189" s="200"/>
      <c r="D189" s="200"/>
      <c r="E189" s="200"/>
      <c r="F189" s="200"/>
      <c r="G189" s="200"/>
      <c r="H189" s="200"/>
      <c r="I189" s="200"/>
      <c r="J189" s="200"/>
      <c r="K189" s="200"/>
      <c r="L189" s="7"/>
      <c r="M189" s="7"/>
      <c r="N189" s="34"/>
      <c r="O189" s="34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200"/>
      <c r="AD189" s="200"/>
      <c r="AE189" s="200"/>
      <c r="AF189" s="200"/>
      <c r="AG189" s="200"/>
      <c r="AH189" s="200"/>
      <c r="AI189" s="200"/>
      <c r="AJ189" s="200"/>
      <c r="AK189" s="200"/>
      <c r="AL189" s="200"/>
      <c r="AM189" s="200"/>
      <c r="AN189" s="200"/>
      <c r="AO189" s="200"/>
      <c r="AP189" s="200"/>
      <c r="AQ189" s="200"/>
      <c r="AR189" s="200"/>
      <c r="AS189" s="200"/>
      <c r="AT189" s="200"/>
      <c r="AU189" s="200"/>
      <c r="AV189" s="200"/>
      <c r="AW189" s="200"/>
      <c r="AX189" s="200"/>
      <c r="AY189" s="200"/>
      <c r="AZ189" s="200"/>
      <c r="BA189" s="200"/>
      <c r="BB189" s="200"/>
      <c r="BC189" s="200"/>
      <c r="BD189" s="200"/>
      <c r="BE189" s="200"/>
      <c r="BF189" s="200"/>
      <c r="BG189" s="200"/>
      <c r="BH189" s="200"/>
      <c r="BI189" s="200"/>
      <c r="BJ189" s="200"/>
      <c r="BK189" s="200"/>
      <c r="BL189" s="200"/>
      <c r="BM189" s="200"/>
      <c r="BN189" s="200"/>
      <c r="BO189" s="200"/>
      <c r="BP189" s="200"/>
      <c r="BQ189" s="200"/>
      <c r="BR189" s="200"/>
      <c r="BS189" s="200"/>
      <c r="BT189" s="200"/>
      <c r="BU189" s="200"/>
    </row>
    <row r="190" spans="1:73" ht="13.5">
      <c r="A190" s="200"/>
      <c r="B190" s="200"/>
      <c r="C190" s="200"/>
      <c r="D190" s="200"/>
      <c r="E190" s="200"/>
      <c r="F190" s="200"/>
      <c r="G190" s="200"/>
      <c r="H190" s="200"/>
      <c r="I190" s="200"/>
      <c r="J190" s="200"/>
      <c r="K190" s="200"/>
      <c r="L190" s="7"/>
      <c r="M190" s="7"/>
      <c r="N190" s="34"/>
      <c r="O190" s="34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200"/>
      <c r="AD190" s="200"/>
      <c r="AE190" s="200"/>
      <c r="AF190" s="200"/>
      <c r="AG190" s="200"/>
      <c r="AH190" s="200"/>
      <c r="AI190" s="200"/>
      <c r="AJ190" s="200"/>
      <c r="AK190" s="200"/>
      <c r="AL190" s="200"/>
      <c r="AM190" s="200"/>
      <c r="AN190" s="200"/>
      <c r="AO190" s="200"/>
      <c r="AP190" s="200"/>
      <c r="AQ190" s="200"/>
      <c r="AR190" s="200"/>
      <c r="AS190" s="200"/>
      <c r="AT190" s="200"/>
      <c r="AU190" s="200"/>
      <c r="AV190" s="200"/>
      <c r="AW190" s="200"/>
      <c r="AX190" s="200"/>
      <c r="AY190" s="200"/>
      <c r="AZ190" s="200"/>
      <c r="BA190" s="200"/>
      <c r="BB190" s="200"/>
      <c r="BC190" s="200"/>
      <c r="BD190" s="200"/>
      <c r="BE190" s="200"/>
      <c r="BF190" s="200"/>
      <c r="BG190" s="200"/>
      <c r="BH190" s="200"/>
      <c r="BI190" s="200"/>
      <c r="BJ190" s="200"/>
      <c r="BK190" s="200"/>
      <c r="BL190" s="200"/>
      <c r="BM190" s="200"/>
      <c r="BN190" s="200"/>
      <c r="BO190" s="200"/>
      <c r="BP190" s="200"/>
      <c r="BQ190" s="200"/>
      <c r="BR190" s="200"/>
      <c r="BS190" s="200"/>
      <c r="BT190" s="200"/>
      <c r="BU190" s="200"/>
    </row>
    <row r="191" spans="1:73" ht="13.5">
      <c r="A191" s="200"/>
      <c r="B191" s="200"/>
      <c r="C191" s="200"/>
      <c r="D191" s="200"/>
      <c r="E191" s="200"/>
      <c r="F191" s="200"/>
      <c r="G191" s="200"/>
      <c r="H191" s="200"/>
      <c r="I191" s="200"/>
      <c r="J191" s="200"/>
      <c r="K191" s="200"/>
      <c r="L191" s="7"/>
      <c r="M191" s="7"/>
      <c r="N191" s="34"/>
      <c r="O191" s="34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200"/>
      <c r="AD191" s="200"/>
      <c r="AE191" s="200"/>
      <c r="AF191" s="200"/>
      <c r="AG191" s="200"/>
      <c r="AH191" s="200"/>
      <c r="AI191" s="200"/>
      <c r="AJ191" s="200"/>
      <c r="AK191" s="200"/>
      <c r="AL191" s="200"/>
      <c r="AM191" s="200"/>
      <c r="AN191" s="200"/>
      <c r="AO191" s="200"/>
      <c r="AP191" s="200"/>
      <c r="AQ191" s="200"/>
      <c r="AR191" s="200"/>
      <c r="AS191" s="200"/>
      <c r="AT191" s="200"/>
      <c r="AU191" s="200"/>
      <c r="AV191" s="200"/>
      <c r="AW191" s="200"/>
      <c r="AX191" s="200"/>
      <c r="AY191" s="200"/>
      <c r="AZ191" s="200"/>
      <c r="BA191" s="200"/>
      <c r="BB191" s="200"/>
      <c r="BC191" s="200"/>
      <c r="BD191" s="200"/>
      <c r="BE191" s="200"/>
      <c r="BF191" s="200"/>
      <c r="BG191" s="200"/>
      <c r="BH191" s="200"/>
      <c r="BI191" s="200"/>
      <c r="BJ191" s="200"/>
      <c r="BK191" s="200"/>
      <c r="BL191" s="200"/>
      <c r="BM191" s="200"/>
      <c r="BN191" s="200"/>
      <c r="BO191" s="200"/>
      <c r="BP191" s="200"/>
      <c r="BQ191" s="200"/>
      <c r="BR191" s="200"/>
      <c r="BS191" s="200"/>
      <c r="BT191" s="200"/>
      <c r="BU191" s="200"/>
    </row>
    <row r="192" spans="1:73" ht="13.5">
      <c r="A192" s="200"/>
      <c r="B192" s="200"/>
      <c r="C192" s="200"/>
      <c r="D192" s="200"/>
      <c r="E192" s="200"/>
      <c r="F192" s="200"/>
      <c r="G192" s="200"/>
      <c r="H192" s="200"/>
      <c r="I192" s="200"/>
      <c r="J192" s="200"/>
      <c r="K192" s="200"/>
      <c r="L192" s="7"/>
      <c r="M192" s="7"/>
      <c r="N192" s="34"/>
      <c r="O192" s="34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200"/>
      <c r="AD192" s="200"/>
      <c r="AE192" s="200"/>
      <c r="AF192" s="200"/>
      <c r="AG192" s="200"/>
      <c r="AH192" s="200"/>
      <c r="AI192" s="200"/>
      <c r="AJ192" s="200"/>
      <c r="AK192" s="200"/>
      <c r="AL192" s="200"/>
      <c r="AM192" s="200"/>
      <c r="AN192" s="200"/>
      <c r="AO192" s="200"/>
      <c r="AP192" s="200"/>
      <c r="AQ192" s="200"/>
      <c r="AR192" s="200"/>
      <c r="AS192" s="200"/>
      <c r="AT192" s="200"/>
      <c r="AU192" s="200"/>
      <c r="AV192" s="200"/>
      <c r="AW192" s="200"/>
      <c r="AX192" s="200"/>
      <c r="AY192" s="200"/>
      <c r="AZ192" s="200"/>
      <c r="BA192" s="200"/>
      <c r="BB192" s="200"/>
      <c r="BC192" s="200"/>
      <c r="BD192" s="200"/>
      <c r="BE192" s="200"/>
      <c r="BF192" s="200"/>
      <c r="BG192" s="200"/>
      <c r="BH192" s="200"/>
      <c r="BI192" s="200"/>
      <c r="BJ192" s="200"/>
      <c r="BK192" s="200"/>
      <c r="BL192" s="200"/>
      <c r="BM192" s="200"/>
      <c r="BN192" s="200"/>
      <c r="BO192" s="200"/>
      <c r="BP192" s="200"/>
      <c r="BQ192" s="200"/>
      <c r="BR192" s="200"/>
      <c r="BS192" s="200"/>
      <c r="BT192" s="200"/>
      <c r="BU192" s="200"/>
    </row>
    <row r="193" spans="1:73" ht="13.5">
      <c r="A193" s="200"/>
      <c r="B193" s="200"/>
      <c r="C193" s="200"/>
      <c r="D193" s="200"/>
      <c r="E193" s="200"/>
      <c r="F193" s="200"/>
      <c r="G193" s="200"/>
      <c r="H193" s="200"/>
      <c r="I193" s="200"/>
      <c r="J193" s="200"/>
      <c r="K193" s="200"/>
      <c r="L193" s="7"/>
      <c r="M193" s="7"/>
      <c r="N193" s="34"/>
      <c r="O193" s="34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200"/>
      <c r="AD193" s="200"/>
      <c r="AE193" s="200"/>
      <c r="AF193" s="200"/>
      <c r="AG193" s="200"/>
      <c r="AH193" s="200"/>
      <c r="AI193" s="200"/>
      <c r="AJ193" s="200"/>
      <c r="AK193" s="200"/>
      <c r="AL193" s="200"/>
      <c r="AM193" s="200"/>
      <c r="AN193" s="200"/>
      <c r="AO193" s="200"/>
      <c r="AP193" s="200"/>
      <c r="AQ193" s="200"/>
      <c r="AR193" s="200"/>
      <c r="AS193" s="200"/>
      <c r="AT193" s="200"/>
      <c r="AU193" s="200"/>
      <c r="AV193" s="200"/>
      <c r="AW193" s="200"/>
      <c r="AX193" s="200"/>
      <c r="AY193" s="200"/>
      <c r="AZ193" s="200"/>
      <c r="BA193" s="200"/>
      <c r="BB193" s="200"/>
      <c r="BC193" s="200"/>
      <c r="BD193" s="200"/>
      <c r="BE193" s="200"/>
      <c r="BF193" s="200"/>
      <c r="BG193" s="200"/>
      <c r="BH193" s="200"/>
      <c r="BI193" s="200"/>
      <c r="BJ193" s="200"/>
      <c r="BK193" s="200"/>
      <c r="BL193" s="200"/>
      <c r="BM193" s="200"/>
      <c r="BN193" s="200"/>
      <c r="BO193" s="200"/>
      <c r="BP193" s="200"/>
      <c r="BQ193" s="200"/>
      <c r="BR193" s="200"/>
      <c r="BS193" s="200"/>
      <c r="BT193" s="200"/>
      <c r="BU193" s="200"/>
    </row>
    <row r="194" spans="1:73" ht="13.5">
      <c r="A194" s="200"/>
      <c r="B194" s="200"/>
      <c r="C194" s="200"/>
      <c r="D194" s="200"/>
      <c r="E194" s="200"/>
      <c r="F194" s="200"/>
      <c r="G194" s="200"/>
      <c r="H194" s="200"/>
      <c r="I194" s="200"/>
      <c r="J194" s="200"/>
      <c r="K194" s="200"/>
      <c r="L194" s="7"/>
      <c r="M194" s="7"/>
      <c r="N194" s="34"/>
      <c r="O194" s="34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200"/>
      <c r="AD194" s="200"/>
      <c r="AE194" s="200"/>
      <c r="AF194" s="200"/>
      <c r="AG194" s="200"/>
      <c r="AH194" s="200"/>
      <c r="AI194" s="200"/>
      <c r="AJ194" s="200"/>
      <c r="AK194" s="200"/>
      <c r="AL194" s="200"/>
      <c r="AM194" s="200"/>
      <c r="AN194" s="200"/>
      <c r="AO194" s="200"/>
      <c r="AP194" s="200"/>
      <c r="AQ194" s="200"/>
      <c r="AR194" s="200"/>
      <c r="AS194" s="200"/>
      <c r="AT194" s="200"/>
      <c r="AU194" s="200"/>
      <c r="AV194" s="200"/>
      <c r="AW194" s="200"/>
      <c r="AX194" s="200"/>
      <c r="AY194" s="200"/>
      <c r="AZ194" s="200"/>
      <c r="BA194" s="200"/>
      <c r="BB194" s="200"/>
      <c r="BC194" s="200"/>
      <c r="BD194" s="200"/>
      <c r="BE194" s="200"/>
      <c r="BF194" s="200"/>
      <c r="BG194" s="200"/>
      <c r="BH194" s="200"/>
      <c r="BI194" s="200"/>
      <c r="BJ194" s="200"/>
      <c r="BK194" s="200"/>
      <c r="BL194" s="200"/>
      <c r="BM194" s="200"/>
      <c r="BN194" s="200"/>
      <c r="BO194" s="200"/>
      <c r="BP194" s="200"/>
      <c r="BQ194" s="200"/>
      <c r="BR194" s="200"/>
      <c r="BS194" s="200"/>
      <c r="BT194" s="200"/>
      <c r="BU194" s="200"/>
    </row>
    <row r="195" spans="1:73" ht="13.5">
      <c r="A195" s="200"/>
      <c r="B195" s="200"/>
      <c r="C195" s="200"/>
      <c r="D195" s="200"/>
      <c r="E195" s="200"/>
      <c r="F195" s="200"/>
      <c r="G195" s="200"/>
      <c r="H195" s="200"/>
      <c r="I195" s="200"/>
      <c r="J195" s="200"/>
      <c r="K195" s="200"/>
      <c r="L195" s="7"/>
      <c r="M195" s="7"/>
      <c r="N195" s="34"/>
      <c r="O195" s="34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200"/>
      <c r="AD195" s="200"/>
      <c r="AE195" s="200"/>
      <c r="AF195" s="200"/>
      <c r="AG195" s="200"/>
      <c r="AH195" s="200"/>
      <c r="AI195" s="200"/>
      <c r="AJ195" s="200"/>
      <c r="AK195" s="200"/>
      <c r="AL195" s="200"/>
      <c r="AM195" s="200"/>
      <c r="AN195" s="200"/>
      <c r="AO195" s="200"/>
      <c r="AP195" s="200"/>
      <c r="AQ195" s="200"/>
      <c r="AR195" s="200"/>
      <c r="AS195" s="200"/>
      <c r="AT195" s="200"/>
      <c r="AU195" s="200"/>
      <c r="AV195" s="200"/>
      <c r="AW195" s="200"/>
      <c r="AX195" s="200"/>
      <c r="AY195" s="200"/>
      <c r="AZ195" s="200"/>
      <c r="BA195" s="200"/>
      <c r="BB195" s="200"/>
      <c r="BC195" s="200"/>
      <c r="BD195" s="200"/>
      <c r="BE195" s="200"/>
      <c r="BF195" s="200"/>
      <c r="BG195" s="200"/>
      <c r="BH195" s="200"/>
      <c r="BI195" s="200"/>
      <c r="BJ195" s="200"/>
      <c r="BK195" s="200"/>
      <c r="BL195" s="200"/>
      <c r="BM195" s="200"/>
      <c r="BN195" s="200"/>
      <c r="BO195" s="200"/>
      <c r="BP195" s="200"/>
      <c r="BQ195" s="200"/>
      <c r="BR195" s="200"/>
      <c r="BS195" s="200"/>
      <c r="BT195" s="200"/>
      <c r="BU195" s="200"/>
    </row>
    <row r="196" spans="1:73" ht="13.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34"/>
      <c r="O196" s="34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200"/>
      <c r="AD196" s="200"/>
      <c r="AE196" s="200"/>
      <c r="AF196" s="200"/>
      <c r="AG196" s="200"/>
      <c r="AH196" s="200"/>
      <c r="AI196" s="200"/>
      <c r="AJ196" s="200"/>
      <c r="AK196" s="200"/>
      <c r="AL196" s="200"/>
      <c r="AM196" s="200"/>
      <c r="AN196" s="200"/>
      <c r="AO196" s="200"/>
      <c r="AP196" s="200"/>
      <c r="AQ196" s="200"/>
      <c r="AR196" s="200"/>
      <c r="AS196" s="200"/>
      <c r="AT196" s="200"/>
      <c r="AU196" s="200"/>
      <c r="AV196" s="200"/>
      <c r="AW196" s="200"/>
      <c r="AX196" s="200"/>
      <c r="AY196" s="200"/>
      <c r="AZ196" s="200"/>
      <c r="BA196" s="200"/>
      <c r="BB196" s="200"/>
      <c r="BC196" s="200"/>
      <c r="BD196" s="200"/>
      <c r="BE196" s="200"/>
      <c r="BF196" s="200"/>
      <c r="BG196" s="200"/>
      <c r="BH196" s="200"/>
      <c r="BI196" s="200"/>
      <c r="BJ196" s="200"/>
      <c r="BK196" s="200"/>
      <c r="BL196" s="200"/>
      <c r="BM196" s="200"/>
      <c r="BN196" s="200"/>
      <c r="BO196" s="200"/>
      <c r="BP196" s="200"/>
      <c r="BQ196" s="200"/>
      <c r="BR196" s="200"/>
      <c r="BS196" s="200"/>
      <c r="BT196" s="200"/>
      <c r="BU196" s="200"/>
    </row>
    <row r="197" spans="1:73" ht="13.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34"/>
      <c r="O197" s="34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200"/>
      <c r="AD197" s="200"/>
      <c r="AE197" s="200"/>
      <c r="AF197" s="200"/>
      <c r="AG197" s="200"/>
      <c r="AH197" s="200"/>
      <c r="AI197" s="200"/>
      <c r="AJ197" s="200"/>
      <c r="AK197" s="200"/>
      <c r="AL197" s="200"/>
      <c r="AM197" s="200"/>
      <c r="AN197" s="200"/>
      <c r="AO197" s="200"/>
      <c r="AP197" s="200"/>
      <c r="AQ197" s="200"/>
      <c r="AR197" s="200"/>
      <c r="AS197" s="200"/>
      <c r="AT197" s="200"/>
      <c r="AU197" s="200"/>
      <c r="AV197" s="200"/>
      <c r="AW197" s="200"/>
      <c r="AX197" s="200"/>
      <c r="AY197" s="200"/>
      <c r="AZ197" s="200"/>
      <c r="BA197" s="200"/>
      <c r="BB197" s="200"/>
      <c r="BC197" s="200"/>
      <c r="BD197" s="200"/>
      <c r="BE197" s="200"/>
      <c r="BF197" s="200"/>
      <c r="BG197" s="200"/>
      <c r="BH197" s="200"/>
      <c r="BI197" s="200"/>
      <c r="BJ197" s="200"/>
      <c r="BK197" s="200"/>
      <c r="BL197" s="200"/>
      <c r="BM197" s="200"/>
      <c r="BN197" s="200"/>
      <c r="BO197" s="200"/>
      <c r="BP197" s="200"/>
      <c r="BQ197" s="200"/>
      <c r="BR197" s="200"/>
      <c r="BS197" s="200"/>
      <c r="BT197" s="200"/>
      <c r="BU197" s="200"/>
    </row>
    <row r="198" spans="1:73" ht="13.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34"/>
      <c r="O198" s="34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200"/>
      <c r="AD198" s="200"/>
      <c r="AE198" s="200"/>
      <c r="AF198" s="200"/>
      <c r="AG198" s="200"/>
      <c r="AH198" s="200"/>
      <c r="AI198" s="200"/>
      <c r="AJ198" s="200"/>
      <c r="AK198" s="200"/>
      <c r="AL198" s="200"/>
      <c r="AM198" s="200"/>
      <c r="AN198" s="200"/>
      <c r="AO198" s="200"/>
      <c r="AP198" s="200"/>
      <c r="AQ198" s="200"/>
      <c r="AR198" s="200"/>
      <c r="AS198" s="200"/>
      <c r="AT198" s="200"/>
      <c r="AU198" s="200"/>
      <c r="AV198" s="200"/>
      <c r="AW198" s="200"/>
      <c r="AX198" s="200"/>
      <c r="AY198" s="200"/>
      <c r="AZ198" s="200"/>
      <c r="BA198" s="200"/>
      <c r="BB198" s="200"/>
      <c r="BC198" s="200"/>
      <c r="BD198" s="200"/>
      <c r="BE198" s="200"/>
      <c r="BF198" s="200"/>
      <c r="BG198" s="200"/>
      <c r="BH198" s="200"/>
      <c r="BI198" s="200"/>
      <c r="BJ198" s="200"/>
      <c r="BK198" s="200"/>
      <c r="BL198" s="200"/>
      <c r="BM198" s="200"/>
      <c r="BN198" s="200"/>
      <c r="BO198" s="200"/>
      <c r="BP198" s="200"/>
      <c r="BQ198" s="200"/>
      <c r="BR198" s="200"/>
      <c r="BS198" s="200"/>
      <c r="BT198" s="200"/>
      <c r="BU198" s="200"/>
    </row>
    <row r="199" spans="1:73" ht="13.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34"/>
      <c r="O199" s="34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200"/>
      <c r="AD199" s="200"/>
      <c r="AE199" s="200"/>
      <c r="AF199" s="200"/>
      <c r="AG199" s="200"/>
      <c r="AH199" s="200"/>
      <c r="AI199" s="200"/>
      <c r="AJ199" s="200"/>
      <c r="AK199" s="200"/>
      <c r="AL199" s="200"/>
      <c r="AM199" s="200"/>
      <c r="AN199" s="200"/>
      <c r="AO199" s="200"/>
      <c r="AP199" s="200"/>
      <c r="AQ199" s="200"/>
      <c r="AR199" s="200"/>
      <c r="AS199" s="200"/>
      <c r="AT199" s="200"/>
      <c r="AU199" s="200"/>
      <c r="AV199" s="200"/>
      <c r="AW199" s="200"/>
      <c r="AX199" s="200"/>
      <c r="AY199" s="200"/>
      <c r="AZ199" s="200"/>
      <c r="BA199" s="200"/>
      <c r="BB199" s="200"/>
      <c r="BC199" s="200"/>
      <c r="BD199" s="200"/>
      <c r="BE199" s="200"/>
      <c r="BF199" s="200"/>
      <c r="BG199" s="200"/>
      <c r="BH199" s="200"/>
      <c r="BI199" s="200"/>
      <c r="BJ199" s="200"/>
      <c r="BK199" s="200"/>
      <c r="BL199" s="200"/>
      <c r="BM199" s="200"/>
      <c r="BN199" s="200"/>
      <c r="BO199" s="200"/>
      <c r="BP199" s="200"/>
      <c r="BQ199" s="200"/>
      <c r="BR199" s="200"/>
      <c r="BS199" s="200"/>
      <c r="BT199" s="200"/>
      <c r="BU199" s="200"/>
    </row>
    <row r="200" spans="1:73" ht="13.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34"/>
      <c r="O200" s="34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200"/>
      <c r="AD200" s="200"/>
      <c r="AE200" s="200"/>
      <c r="AF200" s="200"/>
      <c r="AG200" s="200"/>
      <c r="AH200" s="200"/>
      <c r="AI200" s="200"/>
      <c r="AJ200" s="200"/>
      <c r="AK200" s="200"/>
      <c r="AL200" s="200"/>
      <c r="AM200" s="200"/>
      <c r="AN200" s="200"/>
      <c r="AO200" s="200"/>
      <c r="AP200" s="200"/>
      <c r="AQ200" s="200"/>
      <c r="AR200" s="200"/>
      <c r="AS200" s="200"/>
      <c r="AT200" s="200"/>
      <c r="AU200" s="200"/>
      <c r="AV200" s="200"/>
      <c r="AW200" s="200"/>
      <c r="AX200" s="200"/>
      <c r="AY200" s="200"/>
      <c r="AZ200" s="200"/>
      <c r="BA200" s="200"/>
      <c r="BB200" s="200"/>
      <c r="BC200" s="200"/>
      <c r="BD200" s="200"/>
      <c r="BE200" s="200"/>
      <c r="BF200" s="200"/>
      <c r="BG200" s="200"/>
      <c r="BH200" s="200"/>
      <c r="BI200" s="200"/>
      <c r="BJ200" s="200"/>
      <c r="BK200" s="200"/>
      <c r="BL200" s="200"/>
      <c r="BM200" s="200"/>
      <c r="BN200" s="200"/>
      <c r="BO200" s="200"/>
      <c r="BP200" s="200"/>
      <c r="BQ200" s="200"/>
      <c r="BR200" s="200"/>
      <c r="BS200" s="200"/>
      <c r="BT200" s="200"/>
      <c r="BU200" s="200"/>
    </row>
    <row r="201" spans="1:73" ht="13.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34"/>
      <c r="O201" s="34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200"/>
      <c r="AD201" s="200"/>
      <c r="AE201" s="200"/>
      <c r="AF201" s="200"/>
      <c r="AG201" s="200"/>
      <c r="AH201" s="200"/>
      <c r="AI201" s="200"/>
      <c r="AJ201" s="200"/>
      <c r="AK201" s="200"/>
      <c r="AL201" s="200"/>
      <c r="AM201" s="200"/>
      <c r="AN201" s="200"/>
      <c r="AO201" s="200"/>
      <c r="AP201" s="200"/>
      <c r="AQ201" s="200"/>
      <c r="AR201" s="200"/>
      <c r="AS201" s="200"/>
      <c r="AT201" s="200"/>
      <c r="AU201" s="200"/>
      <c r="AV201" s="200"/>
      <c r="AW201" s="200"/>
      <c r="AX201" s="200"/>
      <c r="AY201" s="200"/>
      <c r="AZ201" s="200"/>
      <c r="BA201" s="200"/>
      <c r="BB201" s="200"/>
      <c r="BC201" s="200"/>
      <c r="BD201" s="200"/>
      <c r="BE201" s="200"/>
      <c r="BF201" s="200"/>
      <c r="BG201" s="200"/>
      <c r="BH201" s="200"/>
      <c r="BI201" s="200"/>
      <c r="BJ201" s="200"/>
      <c r="BK201" s="200"/>
      <c r="BL201" s="200"/>
      <c r="BM201" s="200"/>
      <c r="BN201" s="200"/>
      <c r="BO201" s="200"/>
      <c r="BP201" s="200"/>
      <c r="BQ201" s="200"/>
      <c r="BR201" s="200"/>
      <c r="BS201" s="200"/>
      <c r="BT201" s="200"/>
      <c r="BU201" s="200"/>
    </row>
    <row r="202" spans="1:73" ht="13.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34"/>
      <c r="O202" s="34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200"/>
      <c r="AD202" s="200"/>
      <c r="AE202" s="200"/>
      <c r="AF202" s="200"/>
      <c r="AG202" s="200"/>
      <c r="AH202" s="200"/>
      <c r="AI202" s="200"/>
      <c r="AJ202" s="200"/>
      <c r="AK202" s="200"/>
      <c r="AL202" s="200"/>
      <c r="AM202" s="200"/>
      <c r="AN202" s="200"/>
      <c r="AO202" s="200"/>
      <c r="AP202" s="200"/>
      <c r="AQ202" s="200"/>
      <c r="AR202" s="200"/>
      <c r="AS202" s="200"/>
      <c r="AT202" s="200"/>
      <c r="AU202" s="200"/>
      <c r="AV202" s="200"/>
      <c r="AW202" s="200"/>
      <c r="AX202" s="200"/>
      <c r="AY202" s="200"/>
      <c r="AZ202" s="200"/>
      <c r="BA202" s="200"/>
      <c r="BB202" s="200"/>
      <c r="BC202" s="200"/>
      <c r="BD202" s="200"/>
      <c r="BE202" s="200"/>
      <c r="BF202" s="200"/>
      <c r="BG202" s="200"/>
      <c r="BH202" s="200"/>
      <c r="BI202" s="200"/>
      <c r="BJ202" s="200"/>
      <c r="BK202" s="200"/>
      <c r="BL202" s="200"/>
      <c r="BM202" s="200"/>
      <c r="BN202" s="200"/>
      <c r="BO202" s="200"/>
      <c r="BP202" s="200"/>
      <c r="BQ202" s="200"/>
      <c r="BR202" s="200"/>
      <c r="BS202" s="200"/>
      <c r="BT202" s="200"/>
      <c r="BU202" s="200"/>
    </row>
    <row r="203" spans="1:73" ht="13.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34"/>
      <c r="O203" s="34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200"/>
      <c r="AD203" s="200"/>
      <c r="AE203" s="200"/>
      <c r="AF203" s="200"/>
      <c r="AG203" s="200"/>
      <c r="AH203" s="200"/>
      <c r="AI203" s="200"/>
      <c r="AJ203" s="200"/>
      <c r="AK203" s="200"/>
      <c r="AL203" s="200"/>
      <c r="AM203" s="200"/>
      <c r="AN203" s="200"/>
      <c r="AO203" s="200"/>
      <c r="AP203" s="200"/>
      <c r="AQ203" s="200"/>
      <c r="AR203" s="200"/>
      <c r="AS203" s="200"/>
      <c r="AT203" s="200"/>
      <c r="AU203" s="200"/>
      <c r="AV203" s="200"/>
      <c r="AW203" s="200"/>
      <c r="AX203" s="200"/>
      <c r="AY203" s="200"/>
      <c r="AZ203" s="200"/>
      <c r="BA203" s="200"/>
      <c r="BB203" s="200"/>
      <c r="BC203" s="200"/>
      <c r="BD203" s="200"/>
      <c r="BE203" s="200"/>
      <c r="BF203" s="200"/>
      <c r="BG203" s="200"/>
      <c r="BH203" s="200"/>
      <c r="BI203" s="200"/>
      <c r="BJ203" s="200"/>
      <c r="BK203" s="200"/>
      <c r="BL203" s="200"/>
      <c r="BM203" s="200"/>
      <c r="BN203" s="200"/>
      <c r="BO203" s="200"/>
      <c r="BP203" s="200"/>
      <c r="BQ203" s="200"/>
      <c r="BR203" s="200"/>
      <c r="BS203" s="200"/>
      <c r="BT203" s="200"/>
      <c r="BU203" s="200"/>
    </row>
    <row r="204" spans="1:73" ht="13.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34"/>
      <c r="O204" s="34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200"/>
      <c r="AD204" s="200"/>
      <c r="AE204" s="200"/>
      <c r="AF204" s="200"/>
      <c r="AG204" s="200"/>
      <c r="AH204" s="200"/>
      <c r="AI204" s="200"/>
      <c r="AJ204" s="200"/>
      <c r="AK204" s="200"/>
      <c r="AL204" s="200"/>
      <c r="AM204" s="200"/>
      <c r="AN204" s="200"/>
      <c r="AO204" s="200"/>
      <c r="AP204" s="200"/>
      <c r="AQ204" s="200"/>
      <c r="AR204" s="200"/>
      <c r="AS204" s="200"/>
      <c r="AT204" s="200"/>
      <c r="AU204" s="200"/>
      <c r="AV204" s="200"/>
      <c r="AW204" s="200"/>
      <c r="AX204" s="200"/>
      <c r="AY204" s="200"/>
      <c r="AZ204" s="200"/>
      <c r="BA204" s="200"/>
      <c r="BB204" s="200"/>
      <c r="BC204" s="200"/>
      <c r="BD204" s="200"/>
      <c r="BE204" s="200"/>
      <c r="BF204" s="200"/>
      <c r="BG204" s="200"/>
      <c r="BH204" s="200"/>
      <c r="BI204" s="200"/>
      <c r="BJ204" s="200"/>
      <c r="BK204" s="200"/>
      <c r="BL204" s="200"/>
      <c r="BM204" s="200"/>
      <c r="BN204" s="200"/>
      <c r="BO204" s="200"/>
      <c r="BP204" s="200"/>
      <c r="BQ204" s="200"/>
      <c r="BR204" s="200"/>
      <c r="BS204" s="200"/>
      <c r="BT204" s="200"/>
      <c r="BU204" s="200"/>
    </row>
    <row r="205" spans="1:73" ht="13.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34"/>
      <c r="O205" s="34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200"/>
      <c r="AD205" s="200"/>
      <c r="AE205" s="200"/>
      <c r="AF205" s="200"/>
      <c r="AG205" s="200"/>
      <c r="AH205" s="200"/>
      <c r="AI205" s="200"/>
      <c r="AJ205" s="200"/>
      <c r="AK205" s="200"/>
      <c r="AL205" s="200"/>
      <c r="AM205" s="200"/>
      <c r="AN205" s="200"/>
      <c r="AO205" s="200"/>
      <c r="AP205" s="200"/>
      <c r="AQ205" s="200"/>
      <c r="AR205" s="200"/>
      <c r="AS205" s="200"/>
      <c r="AT205" s="200"/>
      <c r="AU205" s="200"/>
      <c r="AV205" s="200"/>
      <c r="AW205" s="200"/>
      <c r="AX205" s="200"/>
      <c r="AY205" s="200"/>
      <c r="AZ205" s="200"/>
      <c r="BA205" s="200"/>
      <c r="BB205" s="200"/>
      <c r="BC205" s="200"/>
      <c r="BD205" s="200"/>
      <c r="BE205" s="200"/>
      <c r="BF205" s="200"/>
      <c r="BG205" s="200"/>
      <c r="BH205" s="200"/>
      <c r="BI205" s="200"/>
      <c r="BJ205" s="200"/>
      <c r="BK205" s="200"/>
      <c r="BL205" s="200"/>
      <c r="BM205" s="200"/>
      <c r="BN205" s="200"/>
      <c r="BO205" s="200"/>
      <c r="BP205" s="200"/>
      <c r="BQ205" s="200"/>
      <c r="BR205" s="200"/>
      <c r="BS205" s="200"/>
      <c r="BT205" s="200"/>
      <c r="BU205" s="200"/>
    </row>
    <row r="206" spans="1:73" ht="13.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34"/>
      <c r="O206" s="34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200"/>
      <c r="AD206" s="200"/>
      <c r="AE206" s="200"/>
      <c r="AF206" s="200"/>
      <c r="AG206" s="200"/>
      <c r="AH206" s="200"/>
      <c r="AI206" s="200"/>
      <c r="AJ206" s="200"/>
      <c r="AK206" s="200"/>
      <c r="AL206" s="200"/>
      <c r="AM206" s="200"/>
      <c r="AN206" s="200"/>
      <c r="AO206" s="200"/>
      <c r="AP206" s="200"/>
      <c r="AQ206" s="200"/>
      <c r="AR206" s="200"/>
      <c r="AS206" s="200"/>
      <c r="AT206" s="200"/>
      <c r="AU206" s="200"/>
      <c r="AV206" s="200"/>
      <c r="AW206" s="200"/>
      <c r="AX206" s="200"/>
      <c r="AY206" s="200"/>
      <c r="AZ206" s="200"/>
      <c r="BA206" s="200"/>
      <c r="BB206" s="200"/>
      <c r="BC206" s="200"/>
      <c r="BD206" s="200"/>
      <c r="BE206" s="200"/>
      <c r="BF206" s="200"/>
      <c r="BG206" s="200"/>
      <c r="BH206" s="200"/>
      <c r="BI206" s="200"/>
      <c r="BJ206" s="200"/>
      <c r="BK206" s="200"/>
      <c r="BL206" s="200"/>
      <c r="BM206" s="200"/>
      <c r="BN206" s="200"/>
      <c r="BO206" s="200"/>
      <c r="BP206" s="200"/>
      <c r="BQ206" s="200"/>
      <c r="BR206" s="200"/>
      <c r="BS206" s="200"/>
      <c r="BT206" s="200"/>
      <c r="BU206" s="200"/>
    </row>
    <row r="207" spans="1:73" ht="13.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34"/>
      <c r="O207" s="34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200"/>
      <c r="AD207" s="200"/>
      <c r="AE207" s="200"/>
      <c r="AF207" s="200"/>
      <c r="AG207" s="200"/>
      <c r="AH207" s="200"/>
      <c r="AI207" s="200"/>
      <c r="AJ207" s="200"/>
      <c r="AK207" s="200"/>
      <c r="AL207" s="200"/>
      <c r="AM207" s="200"/>
      <c r="AN207" s="200"/>
      <c r="AO207" s="200"/>
      <c r="AP207" s="200"/>
      <c r="AQ207" s="200"/>
      <c r="AR207" s="200"/>
      <c r="AS207" s="200"/>
      <c r="AT207" s="200"/>
      <c r="AU207" s="200"/>
      <c r="AV207" s="200"/>
      <c r="AW207" s="200"/>
      <c r="AX207" s="200"/>
      <c r="AY207" s="200"/>
      <c r="AZ207" s="200"/>
      <c r="BA207" s="200"/>
      <c r="BB207" s="200"/>
      <c r="BC207" s="200"/>
      <c r="BD207" s="200"/>
      <c r="BE207" s="200"/>
      <c r="BF207" s="200"/>
      <c r="BG207" s="200"/>
      <c r="BH207" s="200"/>
      <c r="BI207" s="200"/>
      <c r="BJ207" s="200"/>
      <c r="BK207" s="200"/>
      <c r="BL207" s="200"/>
      <c r="BM207" s="200"/>
      <c r="BN207" s="200"/>
      <c r="BO207" s="200"/>
      <c r="BP207" s="200"/>
      <c r="BQ207" s="200"/>
      <c r="BR207" s="200"/>
      <c r="BS207" s="200"/>
      <c r="BT207" s="200"/>
      <c r="BU207" s="200"/>
    </row>
    <row r="208" spans="1:73" ht="13.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34"/>
      <c r="O208" s="34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200"/>
      <c r="AD208" s="200"/>
      <c r="AE208" s="200"/>
      <c r="AF208" s="200"/>
      <c r="AG208" s="200"/>
      <c r="AH208" s="200"/>
      <c r="AI208" s="200"/>
      <c r="AJ208" s="200"/>
      <c r="AK208" s="200"/>
      <c r="AL208" s="200"/>
      <c r="AM208" s="200"/>
      <c r="AN208" s="200"/>
      <c r="AO208" s="200"/>
      <c r="AP208" s="200"/>
      <c r="AQ208" s="200"/>
      <c r="AR208" s="200"/>
      <c r="AS208" s="200"/>
      <c r="AT208" s="200"/>
      <c r="AU208" s="200"/>
      <c r="AV208" s="200"/>
      <c r="AW208" s="200"/>
      <c r="AX208" s="200"/>
      <c r="AY208" s="200"/>
      <c r="AZ208" s="200"/>
      <c r="BA208" s="200"/>
      <c r="BB208" s="200"/>
      <c r="BC208" s="200"/>
      <c r="BD208" s="200"/>
      <c r="BE208" s="200"/>
      <c r="BF208" s="200"/>
      <c r="BG208" s="200"/>
      <c r="BH208" s="200"/>
      <c r="BI208" s="200"/>
      <c r="BJ208" s="200"/>
      <c r="BK208" s="200"/>
      <c r="BL208" s="200"/>
      <c r="BM208" s="200"/>
      <c r="BN208" s="200"/>
      <c r="BO208" s="200"/>
      <c r="BP208" s="200"/>
      <c r="BQ208" s="200"/>
      <c r="BR208" s="200"/>
      <c r="BS208" s="200"/>
      <c r="BT208" s="200"/>
      <c r="BU208" s="200"/>
    </row>
    <row r="209" spans="1:73" ht="13.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34"/>
      <c r="O209" s="34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200"/>
      <c r="AD209" s="200"/>
      <c r="AE209" s="200"/>
      <c r="AF209" s="200"/>
      <c r="AG209" s="200"/>
      <c r="AH209" s="200"/>
      <c r="AI209" s="200"/>
      <c r="AJ209" s="200"/>
      <c r="AK209" s="200"/>
      <c r="AL209" s="200"/>
      <c r="AM209" s="200"/>
      <c r="AN209" s="200"/>
      <c r="AO209" s="200"/>
      <c r="AP209" s="200"/>
      <c r="AQ209" s="200"/>
      <c r="AR209" s="200"/>
      <c r="AS209" s="200"/>
      <c r="AT209" s="200"/>
      <c r="AU209" s="200"/>
      <c r="AV209" s="200"/>
      <c r="AW209" s="200"/>
      <c r="AX209" s="200"/>
      <c r="AY209" s="200"/>
      <c r="AZ209" s="200"/>
      <c r="BA209" s="200"/>
      <c r="BB209" s="200"/>
      <c r="BC209" s="200"/>
      <c r="BD209" s="200"/>
      <c r="BE209" s="200"/>
      <c r="BF209" s="200"/>
      <c r="BG209" s="200"/>
      <c r="BH209" s="200"/>
      <c r="BI209" s="200"/>
      <c r="BJ209" s="200"/>
      <c r="BK209" s="200"/>
      <c r="BL209" s="200"/>
      <c r="BM209" s="200"/>
      <c r="BN209" s="200"/>
      <c r="BO209" s="200"/>
      <c r="BP209" s="200"/>
      <c r="BQ209" s="200"/>
      <c r="BR209" s="200"/>
      <c r="BS209" s="200"/>
      <c r="BT209" s="200"/>
      <c r="BU209" s="200"/>
    </row>
    <row r="210" spans="1:73" ht="13.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34"/>
      <c r="O210" s="34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200"/>
      <c r="AD210" s="200"/>
      <c r="AE210" s="200"/>
      <c r="AF210" s="200"/>
      <c r="AG210" s="200"/>
      <c r="AH210" s="200"/>
      <c r="AI210" s="200"/>
      <c r="AJ210" s="200"/>
      <c r="AK210" s="200"/>
      <c r="AL210" s="200"/>
      <c r="AM210" s="200"/>
      <c r="AN210" s="200"/>
      <c r="AO210" s="200"/>
      <c r="AP210" s="200"/>
      <c r="AQ210" s="200"/>
      <c r="AR210" s="200"/>
      <c r="AS210" s="200"/>
      <c r="AT210" s="200"/>
      <c r="AU210" s="200"/>
      <c r="AV210" s="200"/>
      <c r="AW210" s="200"/>
      <c r="AX210" s="200"/>
      <c r="AY210" s="200"/>
      <c r="AZ210" s="200"/>
      <c r="BA210" s="200"/>
      <c r="BB210" s="200"/>
      <c r="BC210" s="200"/>
      <c r="BD210" s="200"/>
      <c r="BE210" s="200"/>
      <c r="BF210" s="200"/>
      <c r="BG210" s="200"/>
      <c r="BH210" s="200"/>
      <c r="BI210" s="200"/>
      <c r="BJ210" s="200"/>
      <c r="BK210" s="200"/>
      <c r="BL210" s="200"/>
      <c r="BM210" s="200"/>
      <c r="BN210" s="200"/>
      <c r="BO210" s="200"/>
      <c r="BP210" s="200"/>
      <c r="BQ210" s="200"/>
      <c r="BR210" s="200"/>
      <c r="BS210" s="200"/>
      <c r="BT210" s="200"/>
      <c r="BU210" s="200"/>
    </row>
    <row r="211" spans="1:73" ht="13.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34"/>
      <c r="O211" s="34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200"/>
      <c r="AD211" s="200"/>
      <c r="AE211" s="200"/>
      <c r="AF211" s="200"/>
      <c r="AG211" s="200"/>
      <c r="AH211" s="200"/>
      <c r="AI211" s="200"/>
      <c r="AJ211" s="200"/>
      <c r="AK211" s="200"/>
      <c r="AL211" s="200"/>
      <c r="AM211" s="200"/>
      <c r="AN211" s="200"/>
      <c r="AO211" s="200"/>
      <c r="AP211" s="200"/>
      <c r="AQ211" s="200"/>
      <c r="AR211" s="200"/>
      <c r="AS211" s="200"/>
      <c r="AT211" s="200"/>
      <c r="AU211" s="200"/>
      <c r="AV211" s="200"/>
      <c r="AW211" s="200"/>
      <c r="AX211" s="200"/>
      <c r="AY211" s="200"/>
      <c r="AZ211" s="200"/>
      <c r="BA211" s="200"/>
      <c r="BB211" s="200"/>
      <c r="BC211" s="200"/>
      <c r="BD211" s="200"/>
      <c r="BE211" s="200"/>
      <c r="BF211" s="200"/>
      <c r="BG211" s="200"/>
      <c r="BH211" s="200"/>
      <c r="BI211" s="200"/>
      <c r="BJ211" s="200"/>
      <c r="BK211" s="200"/>
      <c r="BL211" s="200"/>
      <c r="BM211" s="200"/>
      <c r="BN211" s="200"/>
      <c r="BO211" s="200"/>
      <c r="BP211" s="200"/>
      <c r="BQ211" s="200"/>
      <c r="BR211" s="200"/>
      <c r="BS211" s="200"/>
      <c r="BT211" s="200"/>
      <c r="BU211" s="200"/>
    </row>
    <row r="212" spans="1:73" ht="13.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34"/>
      <c r="O212" s="34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200"/>
      <c r="AD212" s="200"/>
      <c r="AE212" s="200"/>
      <c r="AF212" s="200"/>
      <c r="AG212" s="200"/>
      <c r="AH212" s="200"/>
      <c r="AI212" s="200"/>
      <c r="AJ212" s="200"/>
      <c r="AK212" s="200"/>
      <c r="AL212" s="200"/>
      <c r="AM212" s="200"/>
      <c r="AN212" s="200"/>
      <c r="AO212" s="200"/>
      <c r="AP212" s="200"/>
      <c r="AQ212" s="200"/>
      <c r="AR212" s="200"/>
      <c r="AS212" s="200"/>
      <c r="AT212" s="200"/>
      <c r="AU212" s="200"/>
      <c r="AV212" s="200"/>
      <c r="AW212" s="200"/>
      <c r="AX212" s="200"/>
      <c r="AY212" s="200"/>
      <c r="AZ212" s="200"/>
      <c r="BA212" s="200"/>
      <c r="BB212" s="200"/>
      <c r="BC212" s="200"/>
      <c r="BD212" s="200"/>
      <c r="BE212" s="200"/>
      <c r="BF212" s="200"/>
      <c r="BG212" s="200"/>
      <c r="BH212" s="200"/>
      <c r="BI212" s="200"/>
      <c r="BJ212" s="200"/>
      <c r="BK212" s="200"/>
      <c r="BL212" s="200"/>
      <c r="BM212" s="200"/>
      <c r="BN212" s="200"/>
      <c r="BO212" s="200"/>
      <c r="BP212" s="200"/>
      <c r="BQ212" s="200"/>
      <c r="BR212" s="200"/>
      <c r="BS212" s="200"/>
      <c r="BT212" s="200"/>
      <c r="BU212" s="200"/>
    </row>
    <row r="213" spans="1:73" ht="13.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34"/>
      <c r="O213" s="34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200"/>
      <c r="AD213" s="200"/>
      <c r="AE213" s="200"/>
      <c r="AF213" s="200"/>
      <c r="AG213" s="200"/>
      <c r="AH213" s="200"/>
      <c r="AI213" s="200"/>
      <c r="AJ213" s="200"/>
      <c r="AK213" s="200"/>
      <c r="AL213" s="200"/>
      <c r="AM213" s="200"/>
      <c r="AN213" s="200"/>
      <c r="AO213" s="200"/>
      <c r="AP213" s="200"/>
      <c r="AQ213" s="200"/>
      <c r="AR213" s="200"/>
      <c r="AS213" s="200"/>
      <c r="AT213" s="200"/>
      <c r="AU213" s="200"/>
      <c r="AV213" s="200"/>
      <c r="AW213" s="200"/>
      <c r="AX213" s="200"/>
      <c r="AY213" s="200"/>
      <c r="AZ213" s="200"/>
      <c r="BA213" s="200"/>
      <c r="BB213" s="200"/>
      <c r="BC213" s="200"/>
      <c r="BD213" s="200"/>
      <c r="BE213" s="200"/>
      <c r="BF213" s="200"/>
      <c r="BG213" s="200"/>
      <c r="BH213" s="200"/>
      <c r="BI213" s="200"/>
      <c r="BJ213" s="200"/>
      <c r="BK213" s="200"/>
      <c r="BL213" s="200"/>
      <c r="BM213" s="200"/>
      <c r="BN213" s="200"/>
      <c r="BO213" s="200"/>
      <c r="BP213" s="200"/>
      <c r="BQ213" s="200"/>
      <c r="BR213" s="200"/>
      <c r="BS213" s="200"/>
      <c r="BT213" s="200"/>
      <c r="BU213" s="200"/>
    </row>
    <row r="214" spans="1:73" ht="13.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34"/>
      <c r="O214" s="34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200"/>
      <c r="AD214" s="200"/>
      <c r="AE214" s="200"/>
      <c r="AF214" s="200"/>
      <c r="AG214" s="200"/>
      <c r="AH214" s="200"/>
      <c r="AI214" s="200"/>
      <c r="AJ214" s="200"/>
      <c r="AK214" s="200"/>
      <c r="AL214" s="200"/>
      <c r="AM214" s="200"/>
      <c r="AN214" s="200"/>
      <c r="AO214" s="200"/>
      <c r="AP214" s="200"/>
      <c r="AQ214" s="200"/>
      <c r="AR214" s="200"/>
      <c r="AS214" s="200"/>
      <c r="AT214" s="200"/>
      <c r="AU214" s="200"/>
      <c r="AV214" s="200"/>
      <c r="AW214" s="200"/>
      <c r="AX214" s="200"/>
      <c r="AY214" s="200"/>
      <c r="AZ214" s="200"/>
      <c r="BA214" s="200"/>
      <c r="BB214" s="200"/>
      <c r="BC214" s="200"/>
      <c r="BD214" s="200"/>
      <c r="BE214" s="200"/>
      <c r="BF214" s="200"/>
      <c r="BG214" s="200"/>
      <c r="BH214" s="200"/>
      <c r="BI214" s="200"/>
      <c r="BJ214" s="200"/>
      <c r="BK214" s="200"/>
      <c r="BL214" s="200"/>
      <c r="BM214" s="200"/>
      <c r="BN214" s="200"/>
      <c r="BO214" s="200"/>
      <c r="BP214" s="200"/>
      <c r="BQ214" s="200"/>
      <c r="BR214" s="200"/>
      <c r="BS214" s="200"/>
      <c r="BT214" s="200"/>
      <c r="BU214" s="200"/>
    </row>
    <row r="215" spans="1:73" ht="13.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34"/>
      <c r="O215" s="34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200"/>
      <c r="AD215" s="200"/>
      <c r="AE215" s="200"/>
      <c r="AF215" s="200"/>
      <c r="AG215" s="200"/>
      <c r="AH215" s="200"/>
      <c r="AI215" s="200"/>
      <c r="AJ215" s="200"/>
      <c r="AK215" s="200"/>
      <c r="AL215" s="200"/>
      <c r="AM215" s="200"/>
      <c r="AN215" s="200"/>
      <c r="AO215" s="200"/>
      <c r="AP215" s="200"/>
      <c r="AQ215" s="200"/>
      <c r="AR215" s="200"/>
      <c r="AS215" s="200"/>
      <c r="AT215" s="200"/>
      <c r="AU215" s="200"/>
      <c r="AV215" s="200"/>
      <c r="AW215" s="200"/>
      <c r="AX215" s="200"/>
      <c r="AY215" s="200"/>
      <c r="AZ215" s="200"/>
      <c r="BA215" s="200"/>
      <c r="BB215" s="200"/>
      <c r="BC215" s="200"/>
      <c r="BD215" s="200"/>
      <c r="BE215" s="200"/>
      <c r="BF215" s="200"/>
      <c r="BG215" s="200"/>
      <c r="BH215" s="200"/>
      <c r="BI215" s="200"/>
      <c r="BJ215" s="200"/>
      <c r="BK215" s="200"/>
      <c r="BL215" s="200"/>
      <c r="BM215" s="200"/>
      <c r="BN215" s="200"/>
      <c r="BO215" s="200"/>
      <c r="BP215" s="200"/>
      <c r="BQ215" s="200"/>
      <c r="BR215" s="200"/>
      <c r="BS215" s="200"/>
      <c r="BT215" s="200"/>
      <c r="BU215" s="200"/>
    </row>
    <row r="216" spans="1:73" ht="13.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34"/>
      <c r="O216" s="34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200"/>
      <c r="AD216" s="200"/>
      <c r="AE216" s="200"/>
      <c r="AF216" s="200"/>
      <c r="AG216" s="200"/>
      <c r="AH216" s="200"/>
      <c r="AI216" s="200"/>
      <c r="AJ216" s="200"/>
      <c r="AK216" s="200"/>
      <c r="AL216" s="200"/>
      <c r="AM216" s="200"/>
      <c r="AN216" s="200"/>
      <c r="AO216" s="200"/>
      <c r="AP216" s="200"/>
      <c r="AQ216" s="200"/>
      <c r="AR216" s="200"/>
      <c r="AS216" s="200"/>
      <c r="AT216" s="200"/>
      <c r="AU216" s="200"/>
      <c r="AV216" s="200"/>
      <c r="AW216" s="200"/>
      <c r="AX216" s="200"/>
      <c r="AY216" s="200"/>
      <c r="AZ216" s="200"/>
      <c r="BA216" s="200"/>
      <c r="BB216" s="200"/>
      <c r="BC216" s="200"/>
      <c r="BD216" s="200"/>
      <c r="BE216" s="200"/>
      <c r="BF216" s="200"/>
      <c r="BG216" s="200"/>
      <c r="BH216" s="200"/>
      <c r="BI216" s="200"/>
      <c r="BJ216" s="200"/>
      <c r="BK216" s="200"/>
      <c r="BL216" s="200"/>
      <c r="BM216" s="200"/>
      <c r="BN216" s="200"/>
      <c r="BO216" s="200"/>
      <c r="BP216" s="200"/>
      <c r="BQ216" s="200"/>
      <c r="BR216" s="200"/>
      <c r="BS216" s="200"/>
      <c r="BT216" s="200"/>
      <c r="BU216" s="200"/>
    </row>
    <row r="217" spans="1:73" ht="13.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34"/>
      <c r="O217" s="34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200"/>
      <c r="AD217" s="200"/>
      <c r="AE217" s="200"/>
      <c r="AF217" s="200"/>
      <c r="AG217" s="200"/>
      <c r="AH217" s="200"/>
      <c r="AI217" s="200"/>
      <c r="AJ217" s="200"/>
      <c r="AK217" s="200"/>
      <c r="AL217" s="200"/>
      <c r="AM217" s="200"/>
      <c r="AN217" s="200"/>
      <c r="AO217" s="200"/>
      <c r="AP217" s="200"/>
      <c r="AQ217" s="200"/>
      <c r="AR217" s="200"/>
      <c r="AS217" s="200"/>
      <c r="AT217" s="200"/>
      <c r="AU217" s="200"/>
      <c r="AV217" s="200"/>
      <c r="AW217" s="200"/>
      <c r="AX217" s="200"/>
      <c r="AY217" s="200"/>
      <c r="AZ217" s="200"/>
      <c r="BA217" s="200"/>
      <c r="BB217" s="200"/>
      <c r="BC217" s="200"/>
      <c r="BD217" s="200"/>
      <c r="BE217" s="200"/>
      <c r="BF217" s="200"/>
      <c r="BG217" s="200"/>
      <c r="BH217" s="200"/>
      <c r="BI217" s="200"/>
      <c r="BJ217" s="200"/>
      <c r="BK217" s="200"/>
      <c r="BL217" s="200"/>
      <c r="BM217" s="200"/>
      <c r="BN217" s="200"/>
      <c r="BO217" s="200"/>
      <c r="BP217" s="200"/>
      <c r="BQ217" s="200"/>
      <c r="BR217" s="200"/>
      <c r="BS217" s="200"/>
      <c r="BT217" s="200"/>
      <c r="BU217" s="200"/>
    </row>
    <row r="218" spans="1:73" ht="13.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34"/>
      <c r="O218" s="34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200"/>
      <c r="AD218" s="200"/>
      <c r="AE218" s="200"/>
      <c r="AF218" s="200"/>
      <c r="AG218" s="200"/>
      <c r="AH218" s="200"/>
      <c r="AI218" s="200"/>
      <c r="AJ218" s="200"/>
      <c r="AK218" s="200"/>
      <c r="AL218" s="200"/>
      <c r="AM218" s="200"/>
      <c r="AN218" s="200"/>
      <c r="AO218" s="200"/>
      <c r="AP218" s="200"/>
      <c r="AQ218" s="200"/>
      <c r="AR218" s="200"/>
      <c r="AS218" s="200"/>
      <c r="AT218" s="200"/>
      <c r="AU218" s="200"/>
      <c r="AV218" s="200"/>
      <c r="AW218" s="200"/>
      <c r="AX218" s="200"/>
      <c r="AY218" s="200"/>
      <c r="AZ218" s="200"/>
      <c r="BA218" s="200"/>
      <c r="BB218" s="200"/>
      <c r="BC218" s="200"/>
      <c r="BD218" s="200"/>
      <c r="BE218" s="200"/>
      <c r="BF218" s="200"/>
      <c r="BG218" s="200"/>
      <c r="BH218" s="200"/>
      <c r="BI218" s="200"/>
      <c r="BJ218" s="200"/>
      <c r="BK218" s="200"/>
      <c r="BL218" s="200"/>
      <c r="BM218" s="200"/>
      <c r="BN218" s="200"/>
      <c r="BO218" s="200"/>
      <c r="BP218" s="200"/>
      <c r="BQ218" s="200"/>
      <c r="BR218" s="200"/>
      <c r="BS218" s="200"/>
      <c r="BT218" s="200"/>
      <c r="BU218" s="200"/>
    </row>
    <row r="219" spans="1:73" ht="13.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34"/>
      <c r="O219" s="34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200"/>
      <c r="AD219" s="200"/>
      <c r="AE219" s="200"/>
      <c r="AF219" s="200"/>
      <c r="AG219" s="200"/>
      <c r="AH219" s="200"/>
      <c r="AI219" s="200"/>
      <c r="AJ219" s="200"/>
      <c r="AK219" s="200"/>
      <c r="AL219" s="200"/>
      <c r="AM219" s="200"/>
      <c r="AN219" s="200"/>
      <c r="AO219" s="200"/>
      <c r="AP219" s="200"/>
      <c r="AQ219" s="200"/>
      <c r="AR219" s="200"/>
      <c r="AS219" s="200"/>
      <c r="AT219" s="200"/>
      <c r="AU219" s="200"/>
      <c r="AV219" s="200"/>
      <c r="AW219" s="200"/>
      <c r="AX219" s="200"/>
      <c r="AY219" s="200"/>
      <c r="AZ219" s="200"/>
      <c r="BA219" s="200"/>
      <c r="BB219" s="200"/>
      <c r="BC219" s="200"/>
      <c r="BD219" s="200"/>
      <c r="BE219" s="200"/>
      <c r="BF219" s="200"/>
      <c r="BG219" s="200"/>
      <c r="BH219" s="200"/>
      <c r="BI219" s="200"/>
      <c r="BJ219" s="200"/>
      <c r="BK219" s="200"/>
      <c r="BL219" s="200"/>
      <c r="BM219" s="200"/>
      <c r="BN219" s="200"/>
      <c r="BO219" s="200"/>
      <c r="BP219" s="200"/>
      <c r="BQ219" s="200"/>
      <c r="BR219" s="200"/>
      <c r="BS219" s="200"/>
      <c r="BT219" s="200"/>
      <c r="BU219" s="200"/>
    </row>
    <row r="220" spans="1:73" ht="13.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34"/>
      <c r="O220" s="34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200"/>
      <c r="AD220" s="200"/>
      <c r="AE220" s="200"/>
      <c r="AF220" s="200"/>
      <c r="AG220" s="200"/>
      <c r="AH220" s="200"/>
      <c r="AI220" s="200"/>
      <c r="AJ220" s="200"/>
      <c r="AK220" s="200"/>
      <c r="AL220" s="200"/>
      <c r="AM220" s="200"/>
      <c r="AN220" s="200"/>
      <c r="AO220" s="200"/>
      <c r="AP220" s="200"/>
      <c r="AQ220" s="200"/>
      <c r="AR220" s="200"/>
      <c r="AS220" s="200"/>
      <c r="AT220" s="200"/>
      <c r="AU220" s="200"/>
      <c r="AV220" s="200"/>
      <c r="AW220" s="200"/>
      <c r="AX220" s="200"/>
      <c r="AY220" s="200"/>
      <c r="AZ220" s="200"/>
      <c r="BA220" s="200"/>
      <c r="BB220" s="200"/>
      <c r="BC220" s="200"/>
      <c r="BD220" s="200"/>
      <c r="BE220" s="200"/>
      <c r="BF220" s="200"/>
      <c r="BG220" s="200"/>
      <c r="BH220" s="200"/>
      <c r="BI220" s="200"/>
      <c r="BJ220" s="200"/>
      <c r="BK220" s="200"/>
      <c r="BL220" s="200"/>
      <c r="BM220" s="200"/>
      <c r="BN220" s="200"/>
      <c r="BO220" s="200"/>
      <c r="BP220" s="200"/>
      <c r="BQ220" s="200"/>
      <c r="BR220" s="200"/>
      <c r="BS220" s="200"/>
      <c r="BT220" s="200"/>
      <c r="BU220" s="200"/>
    </row>
    <row r="221" spans="1:73" ht="13.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34"/>
      <c r="O221" s="34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200"/>
      <c r="AD221" s="200"/>
      <c r="AE221" s="200"/>
      <c r="AF221" s="200"/>
      <c r="AG221" s="200"/>
      <c r="AH221" s="200"/>
      <c r="AI221" s="200"/>
      <c r="AJ221" s="200"/>
      <c r="AK221" s="200"/>
      <c r="AL221" s="200"/>
      <c r="AM221" s="200"/>
      <c r="AN221" s="200"/>
      <c r="AO221" s="200"/>
      <c r="AP221" s="200"/>
      <c r="AQ221" s="200"/>
      <c r="AR221" s="200"/>
      <c r="AS221" s="200"/>
      <c r="AT221" s="200"/>
      <c r="AU221" s="200"/>
      <c r="AV221" s="200"/>
      <c r="AW221" s="200"/>
      <c r="AX221" s="200"/>
      <c r="AY221" s="200"/>
      <c r="AZ221" s="200"/>
      <c r="BA221" s="200"/>
      <c r="BB221" s="200"/>
      <c r="BC221" s="200"/>
      <c r="BD221" s="200"/>
      <c r="BE221" s="200"/>
      <c r="BF221" s="200"/>
      <c r="BG221" s="200"/>
      <c r="BH221" s="200"/>
      <c r="BI221" s="200"/>
      <c r="BJ221" s="200"/>
      <c r="BK221" s="200"/>
      <c r="BL221" s="200"/>
      <c r="BM221" s="200"/>
      <c r="BN221" s="200"/>
      <c r="BO221" s="200"/>
      <c r="BP221" s="200"/>
      <c r="BQ221" s="200"/>
      <c r="BR221" s="200"/>
      <c r="BS221" s="200"/>
      <c r="BT221" s="200"/>
      <c r="BU221" s="200"/>
    </row>
    <row r="222" spans="1:73" ht="13.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34"/>
      <c r="O222" s="34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200"/>
      <c r="AD222" s="200"/>
      <c r="AE222" s="200"/>
      <c r="AF222" s="200"/>
      <c r="AG222" s="200"/>
      <c r="AH222" s="200"/>
      <c r="AI222" s="200"/>
      <c r="AJ222" s="200"/>
      <c r="AK222" s="200"/>
      <c r="AL222" s="200"/>
      <c r="AM222" s="200"/>
      <c r="AN222" s="200"/>
      <c r="AO222" s="200"/>
      <c r="AP222" s="200"/>
      <c r="AQ222" s="200"/>
      <c r="AR222" s="200"/>
      <c r="AS222" s="200"/>
      <c r="AT222" s="200"/>
      <c r="AU222" s="200"/>
      <c r="AV222" s="200"/>
      <c r="AW222" s="200"/>
      <c r="AX222" s="200"/>
      <c r="AY222" s="200"/>
      <c r="AZ222" s="200"/>
      <c r="BA222" s="200"/>
      <c r="BB222" s="200"/>
      <c r="BC222" s="200"/>
      <c r="BD222" s="200"/>
      <c r="BE222" s="200"/>
      <c r="BF222" s="200"/>
      <c r="BG222" s="200"/>
      <c r="BH222" s="200"/>
      <c r="BI222" s="200"/>
      <c r="BJ222" s="200"/>
      <c r="BK222" s="200"/>
      <c r="BL222" s="200"/>
      <c r="BM222" s="200"/>
      <c r="BN222" s="200"/>
      <c r="BO222" s="200"/>
      <c r="BP222" s="200"/>
      <c r="BQ222" s="200"/>
      <c r="BR222" s="200"/>
      <c r="BS222" s="200"/>
      <c r="BT222" s="200"/>
      <c r="BU222" s="200"/>
    </row>
    <row r="223" spans="1:73" ht="13.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34"/>
      <c r="O223" s="34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200"/>
      <c r="AD223" s="200"/>
      <c r="AE223" s="200"/>
      <c r="AF223" s="200"/>
      <c r="AG223" s="200"/>
      <c r="AH223" s="200"/>
      <c r="AI223" s="200"/>
      <c r="AJ223" s="200"/>
      <c r="AK223" s="200"/>
      <c r="AL223" s="200"/>
      <c r="AM223" s="200"/>
      <c r="AN223" s="200"/>
      <c r="AO223" s="200"/>
      <c r="AP223" s="200"/>
      <c r="AQ223" s="200"/>
      <c r="AR223" s="200"/>
      <c r="AS223" s="200"/>
      <c r="AT223" s="200"/>
      <c r="AU223" s="200"/>
      <c r="AV223" s="200"/>
      <c r="AW223" s="200"/>
      <c r="AX223" s="200"/>
      <c r="AY223" s="200"/>
      <c r="AZ223" s="200"/>
      <c r="BA223" s="200"/>
      <c r="BB223" s="200"/>
      <c r="BC223" s="200"/>
      <c r="BD223" s="200"/>
      <c r="BE223" s="200"/>
      <c r="BF223" s="200"/>
      <c r="BG223" s="200"/>
      <c r="BH223" s="200"/>
      <c r="BI223" s="200"/>
      <c r="BJ223" s="200"/>
      <c r="BK223" s="200"/>
      <c r="BL223" s="200"/>
      <c r="BM223" s="200"/>
      <c r="BN223" s="200"/>
      <c r="BO223" s="200"/>
      <c r="BP223" s="200"/>
      <c r="BQ223" s="200"/>
      <c r="BR223" s="200"/>
      <c r="BS223" s="200"/>
      <c r="BT223" s="200"/>
      <c r="BU223" s="200"/>
    </row>
    <row r="224" spans="1:73" ht="13.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34"/>
      <c r="O224" s="34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200"/>
      <c r="AD224" s="200"/>
      <c r="AE224" s="200"/>
      <c r="AF224" s="200"/>
      <c r="AG224" s="200"/>
      <c r="AH224" s="200"/>
      <c r="AI224" s="200"/>
      <c r="AJ224" s="200"/>
      <c r="AK224" s="200"/>
      <c r="AL224" s="200"/>
      <c r="AM224" s="200"/>
      <c r="AN224" s="200"/>
      <c r="AO224" s="200"/>
      <c r="AP224" s="200"/>
      <c r="AQ224" s="200"/>
      <c r="AR224" s="200"/>
      <c r="AS224" s="200"/>
      <c r="AT224" s="200"/>
      <c r="AU224" s="200"/>
      <c r="AV224" s="200"/>
      <c r="AW224" s="200"/>
      <c r="AX224" s="200"/>
      <c r="AY224" s="200"/>
      <c r="AZ224" s="200"/>
      <c r="BA224" s="200"/>
      <c r="BB224" s="200"/>
      <c r="BC224" s="200"/>
      <c r="BD224" s="200"/>
      <c r="BE224" s="200"/>
      <c r="BF224" s="200"/>
      <c r="BG224" s="200"/>
      <c r="BH224" s="200"/>
      <c r="BI224" s="200"/>
      <c r="BJ224" s="200"/>
      <c r="BK224" s="200"/>
      <c r="BL224" s="200"/>
      <c r="BM224" s="200"/>
      <c r="BN224" s="200"/>
      <c r="BO224" s="200"/>
      <c r="BP224" s="200"/>
      <c r="BQ224" s="200"/>
      <c r="BR224" s="200"/>
      <c r="BS224" s="200"/>
      <c r="BT224" s="200"/>
      <c r="BU224" s="200"/>
    </row>
    <row r="225" spans="1:73" ht="13.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34"/>
      <c r="O225" s="34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200"/>
      <c r="AD225" s="200"/>
      <c r="AE225" s="200"/>
      <c r="AF225" s="200"/>
      <c r="AG225" s="200"/>
      <c r="AH225" s="200"/>
      <c r="AI225" s="200"/>
      <c r="AJ225" s="200"/>
      <c r="AK225" s="200"/>
      <c r="AL225" s="200"/>
      <c r="AM225" s="200"/>
      <c r="AN225" s="200"/>
      <c r="AO225" s="200"/>
      <c r="AP225" s="200"/>
      <c r="AQ225" s="200"/>
      <c r="AR225" s="200"/>
      <c r="AS225" s="200"/>
      <c r="AT225" s="200"/>
      <c r="AU225" s="200"/>
      <c r="AV225" s="200"/>
      <c r="AW225" s="200"/>
      <c r="AX225" s="200"/>
      <c r="AY225" s="200"/>
      <c r="AZ225" s="200"/>
      <c r="BA225" s="200"/>
      <c r="BB225" s="200"/>
      <c r="BC225" s="200"/>
      <c r="BD225" s="200"/>
      <c r="BE225" s="200"/>
      <c r="BF225" s="200"/>
      <c r="BG225" s="200"/>
      <c r="BH225" s="200"/>
      <c r="BI225" s="200"/>
      <c r="BJ225" s="200"/>
      <c r="BK225" s="200"/>
      <c r="BL225" s="200"/>
      <c r="BM225" s="200"/>
      <c r="BN225" s="200"/>
      <c r="BO225" s="200"/>
      <c r="BP225" s="200"/>
      <c r="BQ225" s="200"/>
      <c r="BR225" s="200"/>
      <c r="BS225" s="200"/>
      <c r="BT225" s="200"/>
      <c r="BU225" s="200"/>
    </row>
    <row r="226" spans="1:73" ht="13.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34"/>
      <c r="O226" s="34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200"/>
      <c r="AD226" s="200"/>
      <c r="AE226" s="200"/>
      <c r="AF226" s="200"/>
      <c r="AG226" s="200"/>
      <c r="AH226" s="200"/>
      <c r="AI226" s="200"/>
      <c r="AJ226" s="200"/>
      <c r="AK226" s="200"/>
      <c r="AL226" s="200"/>
      <c r="AM226" s="200"/>
      <c r="AN226" s="200"/>
      <c r="AO226" s="200"/>
      <c r="AP226" s="200"/>
      <c r="AQ226" s="200"/>
      <c r="AR226" s="200"/>
      <c r="AS226" s="200"/>
      <c r="AT226" s="200"/>
      <c r="AU226" s="200"/>
      <c r="AV226" s="200"/>
      <c r="AW226" s="200"/>
      <c r="AX226" s="200"/>
      <c r="AY226" s="200"/>
      <c r="AZ226" s="200"/>
      <c r="BA226" s="200"/>
      <c r="BB226" s="200"/>
      <c r="BC226" s="200"/>
      <c r="BD226" s="200"/>
      <c r="BE226" s="200"/>
      <c r="BF226" s="200"/>
      <c r="BG226" s="200"/>
      <c r="BH226" s="200"/>
      <c r="BI226" s="200"/>
      <c r="BJ226" s="200"/>
      <c r="BK226" s="200"/>
      <c r="BL226" s="200"/>
      <c r="BM226" s="200"/>
      <c r="BN226" s="200"/>
      <c r="BO226" s="200"/>
      <c r="BP226" s="200"/>
      <c r="BQ226" s="200"/>
      <c r="BR226" s="200"/>
      <c r="BS226" s="200"/>
      <c r="BT226" s="200"/>
      <c r="BU226" s="200"/>
    </row>
    <row r="227" spans="1:73" ht="13.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34"/>
      <c r="O227" s="34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200"/>
      <c r="AD227" s="200"/>
      <c r="AE227" s="200"/>
      <c r="AF227" s="200"/>
      <c r="AG227" s="200"/>
      <c r="AH227" s="200"/>
      <c r="AI227" s="200"/>
      <c r="AJ227" s="200"/>
      <c r="AK227" s="200"/>
      <c r="AL227" s="200"/>
      <c r="AM227" s="200"/>
      <c r="AN227" s="200"/>
      <c r="AO227" s="200"/>
      <c r="AP227" s="200"/>
      <c r="AQ227" s="200"/>
      <c r="AR227" s="200"/>
      <c r="AS227" s="200"/>
      <c r="AT227" s="200"/>
      <c r="AU227" s="200"/>
      <c r="AV227" s="200"/>
      <c r="AW227" s="200"/>
      <c r="AX227" s="200"/>
      <c r="AY227" s="200"/>
      <c r="AZ227" s="200"/>
      <c r="BA227" s="200"/>
      <c r="BB227" s="200"/>
      <c r="BC227" s="200"/>
      <c r="BD227" s="200"/>
      <c r="BE227" s="200"/>
      <c r="BF227" s="200"/>
      <c r="BG227" s="200"/>
      <c r="BH227" s="200"/>
      <c r="BI227" s="200"/>
      <c r="BJ227" s="200"/>
      <c r="BK227" s="200"/>
      <c r="BL227" s="200"/>
      <c r="BM227" s="200"/>
      <c r="BN227" s="200"/>
      <c r="BO227" s="200"/>
      <c r="BP227" s="200"/>
      <c r="BQ227" s="200"/>
      <c r="BR227" s="200"/>
      <c r="BS227" s="200"/>
      <c r="BT227" s="200"/>
      <c r="BU227" s="200"/>
    </row>
    <row r="228" spans="1:73" ht="13.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34"/>
      <c r="O228" s="34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200"/>
      <c r="AD228" s="200"/>
      <c r="AE228" s="200"/>
      <c r="AF228" s="200"/>
      <c r="AG228" s="200"/>
      <c r="AH228" s="200"/>
      <c r="AI228" s="200"/>
      <c r="AJ228" s="200"/>
      <c r="AK228" s="200"/>
      <c r="AL228" s="200"/>
      <c r="AM228" s="200"/>
      <c r="AN228" s="200"/>
      <c r="AO228" s="200"/>
      <c r="AP228" s="200"/>
      <c r="AQ228" s="200"/>
      <c r="AR228" s="200"/>
      <c r="AS228" s="200"/>
      <c r="AT228" s="200"/>
      <c r="AU228" s="200"/>
      <c r="AV228" s="200"/>
      <c r="AW228" s="200"/>
      <c r="AX228" s="200"/>
      <c r="AY228" s="200"/>
      <c r="AZ228" s="200"/>
      <c r="BA228" s="200"/>
      <c r="BB228" s="200"/>
      <c r="BC228" s="200"/>
      <c r="BD228" s="200"/>
      <c r="BE228" s="200"/>
      <c r="BF228" s="200"/>
      <c r="BG228" s="200"/>
      <c r="BH228" s="200"/>
      <c r="BI228" s="200"/>
      <c r="BJ228" s="200"/>
      <c r="BK228" s="200"/>
      <c r="BL228" s="200"/>
      <c r="BM228" s="200"/>
      <c r="BN228" s="200"/>
      <c r="BO228" s="200"/>
      <c r="BP228" s="200"/>
      <c r="BQ228" s="200"/>
      <c r="BR228" s="200"/>
      <c r="BS228" s="200"/>
      <c r="BT228" s="200"/>
      <c r="BU228" s="200"/>
    </row>
    <row r="229" spans="1:73" ht="13.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34"/>
      <c r="O229" s="34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200"/>
      <c r="AD229" s="200"/>
      <c r="AE229" s="200"/>
      <c r="AF229" s="200"/>
      <c r="AG229" s="200"/>
      <c r="AH229" s="200"/>
      <c r="AI229" s="200"/>
      <c r="AJ229" s="200"/>
      <c r="AK229" s="200"/>
      <c r="AL229" s="200"/>
      <c r="AM229" s="200"/>
      <c r="AN229" s="200"/>
      <c r="AO229" s="200"/>
      <c r="AP229" s="200"/>
      <c r="AQ229" s="200"/>
      <c r="AR229" s="200"/>
      <c r="AS229" s="200"/>
      <c r="AT229" s="200"/>
      <c r="AU229" s="200"/>
      <c r="AV229" s="200"/>
      <c r="AW229" s="200"/>
      <c r="AX229" s="200"/>
      <c r="AY229" s="200"/>
      <c r="AZ229" s="200"/>
      <c r="BA229" s="200"/>
      <c r="BB229" s="200"/>
      <c r="BC229" s="200"/>
      <c r="BD229" s="200"/>
      <c r="BE229" s="200"/>
      <c r="BF229" s="200"/>
      <c r="BG229" s="200"/>
      <c r="BH229" s="200"/>
      <c r="BI229" s="200"/>
      <c r="BJ229" s="200"/>
      <c r="BK229" s="200"/>
      <c r="BL229" s="200"/>
      <c r="BM229" s="200"/>
      <c r="BN229" s="200"/>
      <c r="BO229" s="200"/>
      <c r="BP229" s="200"/>
      <c r="BQ229" s="200"/>
      <c r="BR229" s="200"/>
      <c r="BS229" s="200"/>
      <c r="BT229" s="200"/>
      <c r="BU229" s="200"/>
    </row>
    <row r="230" spans="1:73" ht="13.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34"/>
      <c r="O230" s="34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200"/>
      <c r="AD230" s="200"/>
      <c r="AE230" s="200"/>
      <c r="AF230" s="200"/>
      <c r="AG230" s="200"/>
      <c r="AH230" s="200"/>
      <c r="AI230" s="200"/>
      <c r="AJ230" s="200"/>
      <c r="AK230" s="200"/>
      <c r="AL230" s="200"/>
      <c r="AM230" s="200"/>
      <c r="AN230" s="200"/>
      <c r="AO230" s="200"/>
      <c r="AP230" s="200"/>
      <c r="AQ230" s="200"/>
      <c r="AR230" s="200"/>
      <c r="AS230" s="200"/>
      <c r="AT230" s="200"/>
      <c r="AU230" s="200"/>
      <c r="AV230" s="200"/>
      <c r="AW230" s="200"/>
      <c r="AX230" s="200"/>
      <c r="AY230" s="200"/>
      <c r="AZ230" s="200"/>
      <c r="BA230" s="200"/>
      <c r="BB230" s="200"/>
      <c r="BC230" s="200"/>
      <c r="BD230" s="200"/>
      <c r="BE230" s="200"/>
      <c r="BF230" s="200"/>
      <c r="BG230" s="200"/>
      <c r="BH230" s="200"/>
      <c r="BI230" s="200"/>
      <c r="BJ230" s="200"/>
      <c r="BK230" s="200"/>
      <c r="BL230" s="200"/>
      <c r="BM230" s="200"/>
      <c r="BN230" s="200"/>
      <c r="BO230" s="200"/>
      <c r="BP230" s="200"/>
      <c r="BQ230" s="200"/>
      <c r="BR230" s="200"/>
      <c r="BS230" s="200"/>
      <c r="BT230" s="200"/>
      <c r="BU230" s="200"/>
    </row>
    <row r="231" spans="1:73" ht="13.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34"/>
      <c r="O231" s="34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200"/>
      <c r="AD231" s="200"/>
      <c r="AE231" s="200"/>
      <c r="AF231" s="200"/>
      <c r="AG231" s="200"/>
      <c r="AH231" s="200"/>
      <c r="AI231" s="200"/>
      <c r="AJ231" s="200"/>
      <c r="AK231" s="200"/>
      <c r="AL231" s="200"/>
      <c r="AM231" s="200"/>
      <c r="AN231" s="200"/>
      <c r="AO231" s="200"/>
      <c r="AP231" s="200"/>
      <c r="AQ231" s="200"/>
      <c r="AR231" s="200"/>
      <c r="AS231" s="200"/>
      <c r="AT231" s="200"/>
      <c r="AU231" s="200"/>
      <c r="AV231" s="200"/>
      <c r="AW231" s="200"/>
      <c r="AX231" s="200"/>
      <c r="AY231" s="200"/>
      <c r="AZ231" s="200"/>
      <c r="BA231" s="200"/>
      <c r="BB231" s="200"/>
      <c r="BC231" s="200"/>
      <c r="BD231" s="200"/>
      <c r="BE231" s="200"/>
      <c r="BF231" s="200"/>
      <c r="BG231" s="200"/>
      <c r="BH231" s="200"/>
      <c r="BI231" s="200"/>
      <c r="BJ231" s="200"/>
      <c r="BK231" s="200"/>
      <c r="BL231" s="200"/>
      <c r="BM231" s="200"/>
      <c r="BN231" s="200"/>
      <c r="BO231" s="200"/>
      <c r="BP231" s="200"/>
      <c r="BQ231" s="200"/>
      <c r="BR231" s="200"/>
      <c r="BS231" s="200"/>
      <c r="BT231" s="200"/>
      <c r="BU231" s="200"/>
    </row>
    <row r="232" spans="1:73" ht="13.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34"/>
      <c r="O232" s="34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200"/>
      <c r="AD232" s="200"/>
      <c r="AE232" s="200"/>
      <c r="AF232" s="200"/>
      <c r="AG232" s="200"/>
      <c r="AH232" s="200"/>
      <c r="AI232" s="200"/>
      <c r="AJ232" s="200"/>
      <c r="AK232" s="200"/>
      <c r="AL232" s="200"/>
      <c r="AM232" s="200"/>
      <c r="AN232" s="200"/>
      <c r="AO232" s="200"/>
      <c r="AP232" s="200"/>
      <c r="AQ232" s="200"/>
      <c r="AR232" s="200"/>
      <c r="AS232" s="200"/>
      <c r="AT232" s="200"/>
      <c r="AU232" s="200"/>
      <c r="AV232" s="200"/>
      <c r="AW232" s="200"/>
      <c r="AX232" s="200"/>
      <c r="AY232" s="200"/>
      <c r="AZ232" s="200"/>
      <c r="BA232" s="200"/>
      <c r="BB232" s="200"/>
      <c r="BC232" s="200"/>
      <c r="BD232" s="200"/>
      <c r="BE232" s="200"/>
      <c r="BF232" s="200"/>
      <c r="BG232" s="200"/>
      <c r="BH232" s="200"/>
      <c r="BI232" s="200"/>
      <c r="BJ232" s="200"/>
      <c r="BK232" s="200"/>
      <c r="BL232" s="200"/>
      <c r="BM232" s="200"/>
      <c r="BN232" s="200"/>
      <c r="BO232" s="200"/>
      <c r="BP232" s="200"/>
      <c r="BQ232" s="200"/>
      <c r="BR232" s="200"/>
      <c r="BS232" s="200"/>
      <c r="BT232" s="200"/>
      <c r="BU232" s="200"/>
    </row>
    <row r="233" spans="1:73" ht="13.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34"/>
      <c r="O233" s="34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200"/>
      <c r="AD233" s="200"/>
      <c r="AE233" s="200"/>
      <c r="AF233" s="200"/>
      <c r="AG233" s="200"/>
      <c r="AH233" s="200"/>
      <c r="AI233" s="200"/>
      <c r="AJ233" s="200"/>
      <c r="AK233" s="200"/>
      <c r="AL233" s="200"/>
      <c r="AM233" s="200"/>
      <c r="AN233" s="200"/>
      <c r="AO233" s="200"/>
      <c r="AP233" s="200"/>
      <c r="AQ233" s="200"/>
      <c r="AR233" s="200"/>
      <c r="AS233" s="200"/>
      <c r="AT233" s="200"/>
      <c r="AU233" s="200"/>
      <c r="AV233" s="200"/>
      <c r="AW233" s="200"/>
      <c r="AX233" s="200"/>
      <c r="AY233" s="200"/>
      <c r="AZ233" s="200"/>
      <c r="BA233" s="200"/>
      <c r="BB233" s="200"/>
      <c r="BC233" s="200"/>
      <c r="BD233" s="200"/>
      <c r="BE233" s="200"/>
      <c r="BF233" s="200"/>
      <c r="BG233" s="200"/>
      <c r="BH233" s="200"/>
      <c r="BI233" s="200"/>
      <c r="BJ233" s="200"/>
      <c r="BK233" s="200"/>
      <c r="BL233" s="200"/>
      <c r="BM233" s="200"/>
      <c r="BN233" s="200"/>
      <c r="BO233" s="200"/>
      <c r="BP233" s="200"/>
      <c r="BQ233" s="200"/>
      <c r="BR233" s="200"/>
      <c r="BS233" s="200"/>
      <c r="BT233" s="200"/>
      <c r="BU233" s="200"/>
    </row>
    <row r="234" spans="1:73" ht="13.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34"/>
      <c r="O234" s="34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200"/>
      <c r="AD234" s="200"/>
      <c r="AE234" s="200"/>
      <c r="AF234" s="200"/>
      <c r="AG234" s="200"/>
      <c r="AH234" s="200"/>
      <c r="AI234" s="200"/>
      <c r="AJ234" s="200"/>
      <c r="AK234" s="200"/>
      <c r="AL234" s="200"/>
      <c r="AM234" s="200"/>
      <c r="AN234" s="200"/>
      <c r="AO234" s="200"/>
      <c r="AP234" s="200"/>
      <c r="AQ234" s="200"/>
      <c r="AR234" s="200"/>
      <c r="AS234" s="200"/>
      <c r="AT234" s="200"/>
      <c r="AU234" s="200"/>
      <c r="AV234" s="200"/>
      <c r="AW234" s="200"/>
      <c r="AX234" s="200"/>
      <c r="AY234" s="200"/>
      <c r="AZ234" s="200"/>
      <c r="BA234" s="200"/>
      <c r="BB234" s="200"/>
      <c r="BC234" s="200"/>
      <c r="BD234" s="200"/>
      <c r="BE234" s="200"/>
      <c r="BF234" s="200"/>
      <c r="BG234" s="200"/>
      <c r="BH234" s="200"/>
      <c r="BI234" s="200"/>
      <c r="BJ234" s="200"/>
      <c r="BK234" s="200"/>
      <c r="BL234" s="200"/>
      <c r="BM234" s="200"/>
      <c r="BN234" s="200"/>
      <c r="BO234" s="200"/>
      <c r="BP234" s="200"/>
      <c r="BQ234" s="200"/>
      <c r="BR234" s="200"/>
      <c r="BS234" s="200"/>
      <c r="BT234" s="200"/>
      <c r="BU234" s="200"/>
    </row>
    <row r="235" spans="1:73" ht="13.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34"/>
      <c r="O235" s="34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200"/>
      <c r="AD235" s="200"/>
      <c r="AE235" s="200"/>
      <c r="AF235" s="200"/>
      <c r="AG235" s="200"/>
      <c r="AH235" s="200"/>
      <c r="AI235" s="200"/>
      <c r="AJ235" s="200"/>
      <c r="AK235" s="200"/>
      <c r="AL235" s="200"/>
      <c r="AM235" s="200"/>
      <c r="AN235" s="200"/>
      <c r="AO235" s="200"/>
      <c r="AP235" s="200"/>
      <c r="AQ235" s="200"/>
      <c r="AR235" s="200"/>
      <c r="AS235" s="200"/>
      <c r="AT235" s="200"/>
      <c r="AU235" s="200"/>
      <c r="AV235" s="200"/>
      <c r="AW235" s="200"/>
      <c r="AX235" s="200"/>
      <c r="AY235" s="200"/>
      <c r="AZ235" s="200"/>
      <c r="BA235" s="200"/>
      <c r="BB235" s="200"/>
      <c r="BC235" s="200"/>
      <c r="BD235" s="200"/>
      <c r="BE235" s="200"/>
      <c r="BF235" s="200"/>
      <c r="BG235" s="200"/>
      <c r="BH235" s="200"/>
      <c r="BI235" s="200"/>
      <c r="BJ235" s="200"/>
      <c r="BK235" s="200"/>
      <c r="BL235" s="200"/>
      <c r="BM235" s="200"/>
      <c r="BN235" s="200"/>
      <c r="BO235" s="200"/>
      <c r="BP235" s="200"/>
      <c r="BQ235" s="200"/>
      <c r="BR235" s="200"/>
      <c r="BS235" s="200"/>
      <c r="BT235" s="200"/>
      <c r="BU235" s="200"/>
    </row>
    <row r="236" spans="1:73" ht="13.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34"/>
      <c r="O236" s="34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200"/>
      <c r="AD236" s="200"/>
      <c r="AE236" s="200"/>
      <c r="AF236" s="200"/>
      <c r="AG236" s="200"/>
      <c r="AH236" s="200"/>
      <c r="AI236" s="200"/>
      <c r="AJ236" s="200"/>
      <c r="AK236" s="200"/>
      <c r="AL236" s="200"/>
      <c r="AM236" s="200"/>
      <c r="AN236" s="200"/>
      <c r="AO236" s="200"/>
      <c r="AP236" s="200"/>
      <c r="AQ236" s="200"/>
      <c r="AR236" s="200"/>
      <c r="AS236" s="200"/>
      <c r="AT236" s="200"/>
      <c r="AU236" s="200"/>
      <c r="AV236" s="200"/>
      <c r="AW236" s="200"/>
      <c r="AX236" s="200"/>
      <c r="AY236" s="200"/>
      <c r="AZ236" s="200"/>
      <c r="BA236" s="200"/>
      <c r="BB236" s="200"/>
      <c r="BC236" s="200"/>
      <c r="BD236" s="200"/>
      <c r="BE236" s="200"/>
      <c r="BF236" s="200"/>
      <c r="BG236" s="200"/>
      <c r="BH236" s="200"/>
      <c r="BI236" s="200"/>
      <c r="BJ236" s="200"/>
      <c r="BK236" s="200"/>
      <c r="BL236" s="200"/>
      <c r="BM236" s="200"/>
      <c r="BN236" s="200"/>
      <c r="BO236" s="200"/>
      <c r="BP236" s="200"/>
      <c r="BQ236" s="200"/>
      <c r="BR236" s="200"/>
      <c r="BS236" s="200"/>
      <c r="BT236" s="200"/>
      <c r="BU236" s="200"/>
    </row>
    <row r="237" spans="1:73" ht="13.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34"/>
      <c r="O237" s="34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200"/>
      <c r="AD237" s="200"/>
      <c r="AE237" s="200"/>
      <c r="AF237" s="200"/>
      <c r="AG237" s="200"/>
      <c r="AH237" s="200"/>
      <c r="AI237" s="200"/>
      <c r="AJ237" s="200"/>
      <c r="AK237" s="200"/>
      <c r="AL237" s="200"/>
      <c r="AM237" s="200"/>
      <c r="AN237" s="200"/>
      <c r="AO237" s="200"/>
      <c r="AP237" s="200"/>
      <c r="AQ237" s="200"/>
      <c r="AR237" s="200"/>
      <c r="AS237" s="200"/>
      <c r="AT237" s="200"/>
      <c r="AU237" s="200"/>
      <c r="AV237" s="200"/>
      <c r="AW237" s="200"/>
      <c r="AX237" s="200"/>
      <c r="AY237" s="200"/>
      <c r="AZ237" s="200"/>
      <c r="BA237" s="200"/>
      <c r="BB237" s="200"/>
      <c r="BC237" s="200"/>
      <c r="BD237" s="200"/>
      <c r="BE237" s="200"/>
      <c r="BF237" s="200"/>
      <c r="BG237" s="200"/>
      <c r="BH237" s="200"/>
      <c r="BI237" s="200"/>
      <c r="BJ237" s="200"/>
      <c r="BK237" s="200"/>
      <c r="BL237" s="200"/>
      <c r="BM237" s="200"/>
      <c r="BN237" s="200"/>
      <c r="BO237" s="200"/>
      <c r="BP237" s="200"/>
      <c r="BQ237" s="200"/>
      <c r="BR237" s="200"/>
      <c r="BS237" s="200"/>
      <c r="BT237" s="200"/>
      <c r="BU237" s="200"/>
    </row>
    <row r="238" spans="1:73" ht="13.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34"/>
      <c r="O238" s="34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200"/>
      <c r="AD238" s="200"/>
      <c r="AE238" s="200"/>
      <c r="AF238" s="200"/>
      <c r="AG238" s="200"/>
      <c r="AH238" s="200"/>
      <c r="AI238" s="200"/>
      <c r="AJ238" s="200"/>
      <c r="AK238" s="200"/>
      <c r="AL238" s="200"/>
      <c r="AM238" s="200"/>
      <c r="AN238" s="200"/>
      <c r="AO238" s="200"/>
      <c r="AP238" s="200"/>
      <c r="AQ238" s="200"/>
      <c r="AR238" s="200"/>
      <c r="AS238" s="200"/>
      <c r="AT238" s="200"/>
      <c r="AU238" s="200"/>
      <c r="AV238" s="200"/>
      <c r="AW238" s="200"/>
      <c r="AX238" s="200"/>
      <c r="AY238" s="200"/>
      <c r="AZ238" s="200"/>
      <c r="BA238" s="200"/>
      <c r="BB238" s="200"/>
      <c r="BC238" s="200"/>
      <c r="BD238" s="200"/>
      <c r="BE238" s="200"/>
      <c r="BF238" s="200"/>
      <c r="BG238" s="200"/>
      <c r="BH238" s="200"/>
      <c r="BI238" s="200"/>
      <c r="BJ238" s="200"/>
      <c r="BK238" s="200"/>
      <c r="BL238" s="200"/>
      <c r="BM238" s="200"/>
      <c r="BN238" s="200"/>
      <c r="BO238" s="200"/>
      <c r="BP238" s="200"/>
      <c r="BQ238" s="200"/>
      <c r="BR238" s="200"/>
      <c r="BS238" s="200"/>
      <c r="BT238" s="200"/>
      <c r="BU238" s="200"/>
    </row>
    <row r="239" spans="1:31" ht="13.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34"/>
      <c r="O239" s="34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</row>
    <row r="240" spans="1:31" ht="13.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34"/>
      <c r="O240" s="34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</row>
    <row r="241" spans="1:31" ht="13.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34"/>
      <c r="O241" s="34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</row>
    <row r="242" spans="1:31" ht="13.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34"/>
      <c r="O242" s="34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</row>
    <row r="243" spans="1:31" ht="13.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34"/>
      <c r="O243" s="34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</row>
    <row r="244" spans="1:31" ht="13.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34"/>
      <c r="O244" s="34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</row>
    <row r="245" spans="1:31" ht="13.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34"/>
      <c r="O245" s="34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</row>
    <row r="246" spans="1:31" ht="13.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34"/>
      <c r="O246" s="34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</row>
    <row r="247" spans="1:31" ht="13.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34"/>
      <c r="O247" s="34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</row>
  </sheetData>
  <sheetProtection selectLockedCells="1" selectUnlockedCells="1"/>
  <mergeCells count="34">
    <mergeCell ref="B1:J5"/>
    <mergeCell ref="B134:B135"/>
    <mergeCell ref="O134:O135"/>
    <mergeCell ref="AB134:AB135"/>
    <mergeCell ref="B173:B174"/>
    <mergeCell ref="O173:O174"/>
    <mergeCell ref="AB173:AB174"/>
    <mergeCell ref="B124:B125"/>
    <mergeCell ref="O124:O125"/>
    <mergeCell ref="AB124:AB125"/>
    <mergeCell ref="A82:A83"/>
    <mergeCell ref="B82:B83"/>
    <mergeCell ref="O82:O83"/>
    <mergeCell ref="AB82:AB83"/>
    <mergeCell ref="A117:A118"/>
    <mergeCell ref="B117:B118"/>
    <mergeCell ref="O117:O118"/>
    <mergeCell ref="AB117:AB118"/>
    <mergeCell ref="A81:G81"/>
    <mergeCell ref="A84:A107"/>
    <mergeCell ref="B9:B10"/>
    <mergeCell ref="O9:O10"/>
    <mergeCell ref="A9:A10"/>
    <mergeCell ref="AB9:AB10"/>
    <mergeCell ref="B48:B49"/>
    <mergeCell ref="O48:O49"/>
    <mergeCell ref="AB48:AB49"/>
    <mergeCell ref="A50:A73"/>
    <mergeCell ref="A48:A49"/>
    <mergeCell ref="A6:J7"/>
    <mergeCell ref="N6:N8"/>
    <mergeCell ref="A8:G8"/>
    <mergeCell ref="A47:G47"/>
    <mergeCell ref="A11:A32"/>
  </mergeCells>
  <printOptions/>
  <pageMargins left="0.7" right="0.7" top="0.75" bottom="0.75" header="0.5118055555555555" footer="0.5118055555555555"/>
  <pageSetup horizontalDpi="300" verticalDpi="300"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5:V53"/>
  <sheetViews>
    <sheetView workbookViewId="0" topLeftCell="A18">
      <selection activeCell="C30" sqref="C30"/>
    </sheetView>
  </sheetViews>
  <sheetFormatPr defaultColWidth="9.140625" defaultRowHeight="12.75"/>
  <cols>
    <col min="1" max="1" width="10.421875" style="263" customWidth="1"/>
    <col min="2" max="2" width="58.7109375" style="263" customWidth="1"/>
    <col min="3" max="3" width="14.421875" style="263" customWidth="1"/>
    <col min="4" max="16384" width="9.140625" style="263" customWidth="1"/>
  </cols>
  <sheetData>
    <row r="1" ht="12.75"/>
    <row r="2" ht="29.25" customHeight="1"/>
    <row r="3" ht="12.75"/>
    <row r="4" ht="12.75" customHeight="1"/>
    <row r="5" ht="18">
      <c r="B5" s="264" t="s">
        <v>313</v>
      </c>
    </row>
    <row r="6" spans="2:4" ht="12">
      <c r="B6" s="265"/>
      <c r="C6" s="265"/>
      <c r="D6" s="265"/>
    </row>
    <row r="7" spans="2:4" ht="13.5">
      <c r="B7" s="286" t="s">
        <v>207</v>
      </c>
      <c r="C7" s="286" t="s">
        <v>119</v>
      </c>
      <c r="D7" s="265"/>
    </row>
    <row r="8" spans="2:4" ht="13.5">
      <c r="B8" s="288" t="s">
        <v>205</v>
      </c>
      <c r="C8" s="320">
        <v>15</v>
      </c>
      <c r="D8" s="265"/>
    </row>
    <row r="9" spans="2:4" ht="13.5">
      <c r="B9" s="287" t="s">
        <v>206</v>
      </c>
      <c r="C9" s="321">
        <v>15</v>
      </c>
      <c r="D9" s="265"/>
    </row>
    <row r="10" spans="2:4" ht="13.5">
      <c r="B10" s="288" t="s">
        <v>117</v>
      </c>
      <c r="C10" s="320">
        <v>20000</v>
      </c>
      <c r="D10" s="265"/>
    </row>
    <row r="11" spans="2:4" ht="13.5">
      <c r="B11" s="300"/>
      <c r="C11" s="320"/>
      <c r="D11" s="265"/>
    </row>
    <row r="12" spans="2:4" ht="13.5">
      <c r="B12" s="300"/>
      <c r="C12" s="304"/>
      <c r="D12" s="265"/>
    </row>
    <row r="13" spans="2:4" ht="13.5">
      <c r="B13" s="300" t="s">
        <v>250</v>
      </c>
      <c r="C13" s="304" t="s">
        <v>314</v>
      </c>
      <c r="D13" s="265"/>
    </row>
    <row r="14" spans="2:4" ht="12">
      <c r="B14" s="265"/>
      <c r="C14" s="265"/>
      <c r="D14" s="265"/>
    </row>
    <row r="15" spans="2:4" ht="18">
      <c r="B15" s="307" t="s">
        <v>248</v>
      </c>
      <c r="C15" s="305"/>
      <c r="D15" s="265"/>
    </row>
    <row r="16" spans="2:7" ht="12.75">
      <c r="B16" s="306"/>
      <c r="C16" s="306"/>
      <c r="D16" s="172"/>
      <c r="E16" s="173"/>
      <c r="F16" s="173"/>
      <c r="G16" s="173"/>
    </row>
    <row r="17" spans="2:9" ht="13.5">
      <c r="B17" s="286" t="s">
        <v>123</v>
      </c>
      <c r="C17" s="286" t="s">
        <v>119</v>
      </c>
      <c r="D17" s="309"/>
      <c r="E17" s="309"/>
      <c r="F17" s="309"/>
      <c r="G17" s="309"/>
      <c r="H17" s="309"/>
      <c r="I17" s="309"/>
    </row>
    <row r="18" spans="2:9" ht="13.5">
      <c r="B18" s="286" t="s">
        <v>0</v>
      </c>
      <c r="C18" s="286"/>
      <c r="D18" s="309"/>
      <c r="E18" s="309"/>
      <c r="F18" s="309" t="s">
        <v>251</v>
      </c>
      <c r="G18" s="309"/>
      <c r="H18" s="309" t="s">
        <v>252</v>
      </c>
      <c r="I18" s="309"/>
    </row>
    <row r="19" spans="2:9" ht="13.5">
      <c r="B19" s="287" t="s">
        <v>254</v>
      </c>
      <c r="C19" s="288">
        <v>3105</v>
      </c>
      <c r="D19" s="309"/>
      <c r="E19" s="309"/>
      <c r="F19" s="309">
        <f>C19/(100+C20)*100</f>
        <v>1514.6341463414635</v>
      </c>
      <c r="G19" s="309"/>
      <c r="H19" s="310">
        <f>(C19-F19)/C19</f>
        <v>0.5121951219512195</v>
      </c>
      <c r="I19" s="309"/>
    </row>
    <row r="20" spans="2:9" ht="13.5">
      <c r="B20" s="287" t="s">
        <v>130</v>
      </c>
      <c r="C20" s="321">
        <v>105</v>
      </c>
      <c r="D20" s="309"/>
      <c r="E20" s="309"/>
      <c r="F20" s="309"/>
      <c r="G20" s="309"/>
      <c r="H20" s="310"/>
      <c r="I20" s="309"/>
    </row>
    <row r="21" spans="2:9" ht="13.5">
      <c r="B21" s="287" t="s">
        <v>264</v>
      </c>
      <c r="C21" s="289">
        <v>0.03</v>
      </c>
      <c r="D21" s="309"/>
      <c r="E21" s="309"/>
      <c r="F21" s="309">
        <f>C19*(1-C21)</f>
        <v>3011.85</v>
      </c>
      <c r="G21" s="309"/>
      <c r="H21" s="310">
        <f>(F21-F19)/F21</f>
        <v>0.4971083731455871</v>
      </c>
      <c r="I21" s="309"/>
    </row>
    <row r="22" spans="2:22" ht="13.5">
      <c r="B22" s="287" t="s">
        <v>288</v>
      </c>
      <c r="C22" s="294">
        <v>70</v>
      </c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4"/>
    </row>
    <row r="23" spans="2:9" ht="13.5">
      <c r="B23" s="287" t="s">
        <v>256</v>
      </c>
      <c r="C23" s="308">
        <v>1.07</v>
      </c>
      <c r="D23" s="309">
        <v>1.03</v>
      </c>
      <c r="E23" s="309"/>
      <c r="F23" s="309"/>
      <c r="G23" s="309"/>
      <c r="H23" s="310"/>
      <c r="I23" s="309"/>
    </row>
    <row r="24" spans="2:9" ht="15.75" customHeight="1">
      <c r="B24" s="286" t="s">
        <v>3</v>
      </c>
      <c r="C24" s="290"/>
      <c r="D24" s="309"/>
      <c r="E24" s="309"/>
      <c r="F24" s="309"/>
      <c r="G24" s="309"/>
      <c r="H24" s="309"/>
      <c r="I24" s="309"/>
    </row>
    <row r="25" spans="2:9" ht="13.5">
      <c r="B25" s="287" t="s">
        <v>254</v>
      </c>
      <c r="C25" s="294">
        <v>3420</v>
      </c>
      <c r="D25" s="309"/>
      <c r="E25" s="309"/>
      <c r="F25" s="309"/>
      <c r="G25" s="309"/>
      <c r="H25" s="309"/>
      <c r="I25" s="309"/>
    </row>
    <row r="26" spans="2:9" ht="13.5">
      <c r="B26" s="287" t="s">
        <v>130</v>
      </c>
      <c r="C26" s="321">
        <v>105</v>
      </c>
      <c r="D26" s="309"/>
      <c r="E26" s="309"/>
      <c r="F26" s="309"/>
      <c r="G26" s="309"/>
      <c r="H26" s="309"/>
      <c r="I26" s="309"/>
    </row>
    <row r="27" spans="2:9" ht="13.5">
      <c r="B27" s="287" t="s">
        <v>253</v>
      </c>
      <c r="C27" s="289">
        <v>0.05</v>
      </c>
      <c r="D27" s="309"/>
      <c r="E27" s="309"/>
      <c r="F27" s="309"/>
      <c r="G27" s="309"/>
      <c r="H27" s="309"/>
      <c r="I27" s="309"/>
    </row>
    <row r="28" spans="2:9" ht="13.5">
      <c r="B28" s="287" t="s">
        <v>266</v>
      </c>
      <c r="C28" s="289"/>
      <c r="D28" s="309"/>
      <c r="E28" s="309"/>
      <c r="F28" s="309"/>
      <c r="G28" s="309"/>
      <c r="H28" s="309"/>
      <c r="I28" s="309"/>
    </row>
    <row r="29" spans="2:9" ht="13.5">
      <c r="B29" s="287" t="s">
        <v>255</v>
      </c>
      <c r="C29" s="294">
        <v>50</v>
      </c>
      <c r="D29" s="309"/>
      <c r="E29" s="309"/>
      <c r="F29" s="309"/>
      <c r="G29" s="309"/>
      <c r="H29" s="309"/>
      <c r="I29" s="309"/>
    </row>
    <row r="30" spans="2:9" ht="13.5">
      <c r="B30" s="287" t="s">
        <v>257</v>
      </c>
      <c r="C30" s="308">
        <v>1.03</v>
      </c>
      <c r="D30" s="309">
        <v>1.03</v>
      </c>
      <c r="E30" s="309"/>
      <c r="F30" s="309"/>
      <c r="G30" s="309"/>
      <c r="H30" s="309"/>
      <c r="I30" s="309"/>
    </row>
    <row r="31" spans="2:9" ht="15.75" customHeight="1">
      <c r="B31" s="286" t="s">
        <v>201</v>
      </c>
      <c r="C31" s="290"/>
      <c r="D31" s="309"/>
      <c r="E31" s="309"/>
      <c r="F31" s="309"/>
      <c r="G31" s="309"/>
      <c r="H31" s="309"/>
      <c r="I31" s="309"/>
    </row>
    <row r="32" spans="2:9" ht="13.5">
      <c r="B32" s="287" t="s">
        <v>254</v>
      </c>
      <c r="C32" s="288">
        <v>15000</v>
      </c>
      <c r="D32" s="309"/>
      <c r="E32" s="309"/>
      <c r="F32" s="309"/>
      <c r="G32" s="309"/>
      <c r="H32" s="309"/>
      <c r="I32" s="309"/>
    </row>
    <row r="33" spans="2:9" ht="13.5">
      <c r="B33" s="287" t="s">
        <v>130</v>
      </c>
      <c r="C33" s="294">
        <v>30</v>
      </c>
      <c r="D33" s="309"/>
      <c r="E33" s="309"/>
      <c r="F33" s="309"/>
      <c r="G33" s="309"/>
      <c r="H33" s="309"/>
      <c r="I33" s="309"/>
    </row>
    <row r="34" spans="2:9" ht="13.5">
      <c r="B34" s="287" t="s">
        <v>255</v>
      </c>
      <c r="C34" s="294">
        <v>5</v>
      </c>
      <c r="D34" s="309"/>
      <c r="E34" s="309"/>
      <c r="F34" s="309"/>
      <c r="G34" s="309"/>
      <c r="H34" s="309"/>
      <c r="I34" s="309"/>
    </row>
    <row r="35" spans="2:9" ht="13.5">
      <c r="B35" s="287" t="s">
        <v>258</v>
      </c>
      <c r="C35" s="308">
        <v>1.06</v>
      </c>
      <c r="D35" s="309">
        <v>1.03</v>
      </c>
      <c r="E35" s="309"/>
      <c r="F35" s="309"/>
      <c r="G35" s="309"/>
      <c r="H35" s="309"/>
      <c r="I35" s="309"/>
    </row>
    <row r="36" spans="2:3" ht="13.5">
      <c r="B36" s="291" t="s">
        <v>208</v>
      </c>
      <c r="C36" s="290"/>
    </row>
    <row r="37" spans="2:3" ht="16.5" customHeight="1">
      <c r="B37" s="292" t="s">
        <v>247</v>
      </c>
      <c r="C37" s="288">
        <v>4266</v>
      </c>
    </row>
    <row r="38" spans="2:3" ht="13.5">
      <c r="B38" s="293" t="s">
        <v>7</v>
      </c>
      <c r="C38" s="288">
        <v>190000</v>
      </c>
    </row>
    <row r="39" spans="2:3" ht="13.5">
      <c r="B39" s="293"/>
      <c r="C39" s="288"/>
    </row>
    <row r="40" spans="2:3" ht="13.5">
      <c r="B40" s="293" t="s">
        <v>139</v>
      </c>
      <c r="C40" s="294">
        <v>40000</v>
      </c>
    </row>
    <row r="41" spans="2:3" ht="13.5">
      <c r="B41" s="295" t="s">
        <v>244</v>
      </c>
      <c r="C41" s="294"/>
    </row>
    <row r="42" spans="2:4" ht="13.5">
      <c r="B42" s="293" t="s">
        <v>187</v>
      </c>
      <c r="C42" s="296">
        <v>700</v>
      </c>
      <c r="D42" s="263" t="s">
        <v>289</v>
      </c>
    </row>
    <row r="43" spans="2:3" ht="13.5">
      <c r="B43" s="293" t="s">
        <v>246</v>
      </c>
      <c r="C43" s="296">
        <v>0</v>
      </c>
    </row>
    <row r="44" spans="2:3" ht="13.5">
      <c r="B44" s="293" t="s">
        <v>203</v>
      </c>
      <c r="C44" s="296">
        <v>2000</v>
      </c>
    </row>
    <row r="45" spans="2:3" ht="13.5">
      <c r="B45" s="293" t="s">
        <v>200</v>
      </c>
      <c r="C45" s="296">
        <v>2100</v>
      </c>
    </row>
    <row r="46" spans="2:3" ht="13.5">
      <c r="B46" s="295" t="s">
        <v>245</v>
      </c>
      <c r="C46" s="296"/>
    </row>
    <row r="47" spans="2:3" ht="13.5">
      <c r="B47" s="293" t="s">
        <v>141</v>
      </c>
      <c r="C47" s="303">
        <v>0.02</v>
      </c>
    </row>
    <row r="48" spans="2:3" ht="15" customHeight="1">
      <c r="B48" s="302" t="s">
        <v>270</v>
      </c>
      <c r="C48" s="326">
        <v>0.01</v>
      </c>
    </row>
    <row r="49" spans="2:3" ht="13.5">
      <c r="B49" s="297" t="s">
        <v>153</v>
      </c>
      <c r="C49" s="298"/>
    </row>
    <row r="50" spans="2:3" ht="13.5">
      <c r="B50" s="287" t="s">
        <v>241</v>
      </c>
      <c r="C50" s="288">
        <v>1</v>
      </c>
    </row>
    <row r="51" spans="2:3" ht="13.5">
      <c r="B51" s="287" t="s">
        <v>242</v>
      </c>
      <c r="C51" s="288">
        <v>6000</v>
      </c>
    </row>
    <row r="52" spans="2:3" ht="13.5">
      <c r="B52" s="301" t="s">
        <v>243</v>
      </c>
      <c r="C52" s="299">
        <v>0.04</v>
      </c>
    </row>
    <row r="53" spans="2:3" ht="27.75">
      <c r="B53" s="302" t="s">
        <v>290</v>
      </c>
      <c r="C53" s="294">
        <v>25000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Q46"/>
  <sheetViews>
    <sheetView tabSelected="1" workbookViewId="0" topLeftCell="A12">
      <selection activeCell="E51" sqref="E51"/>
    </sheetView>
  </sheetViews>
  <sheetFormatPr defaultColWidth="8.8515625" defaultRowHeight="14.25" customHeight="1"/>
  <cols>
    <col min="1" max="1" width="7.00390625" style="0" customWidth="1"/>
    <col min="2" max="2" width="54.28125" style="0" customWidth="1"/>
    <col min="3" max="3" width="12.421875" style="0" bestFit="1" customWidth="1"/>
    <col min="4" max="6" width="10.7109375" style="0" bestFit="1" customWidth="1"/>
    <col min="7" max="7" width="11.7109375" style="385" customWidth="1"/>
    <col min="8" max="8" width="9.421875" style="0" customWidth="1"/>
    <col min="9" max="14" width="10.7109375" style="0" bestFit="1" customWidth="1"/>
  </cols>
  <sheetData>
    <row r="1" ht="14.25" customHeight="1" thickBot="1">
      <c r="G1" s="385" t="s">
        <v>315</v>
      </c>
    </row>
    <row r="2" spans="2:43" ht="14.25" customHeight="1" thickBot="1">
      <c r="B2" s="319" t="s">
        <v>273</v>
      </c>
      <c r="C2" s="371"/>
      <c r="D2" s="372"/>
      <c r="E2" s="372"/>
      <c r="F2" s="372"/>
      <c r="G2" s="373"/>
      <c r="H2" s="371"/>
      <c r="I2" s="372"/>
      <c r="J2" s="372"/>
      <c r="K2" s="372"/>
      <c r="L2" s="372"/>
      <c r="M2" s="372"/>
      <c r="N2" s="372"/>
      <c r="O2" s="322"/>
      <c r="P2" s="322"/>
      <c r="Q2" s="322"/>
      <c r="R2" s="322"/>
      <c r="S2" s="323"/>
      <c r="T2" s="371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3"/>
      <c r="AF2" s="371"/>
      <c r="AG2" s="372"/>
      <c r="AH2" s="372"/>
      <c r="AI2" s="372"/>
      <c r="AJ2" s="372"/>
      <c r="AK2" s="372"/>
      <c r="AL2" s="372"/>
      <c r="AM2" s="372"/>
      <c r="AN2" s="372"/>
      <c r="AO2" s="372"/>
      <c r="AP2" s="372"/>
      <c r="AQ2" s="373"/>
    </row>
    <row r="3" spans="2:43" ht="14.25" customHeight="1">
      <c r="B3" s="268" t="s">
        <v>194</v>
      </c>
      <c r="C3" s="268" t="s">
        <v>276</v>
      </c>
      <c r="D3" s="268" t="s">
        <v>277</v>
      </c>
      <c r="E3" s="268" t="s">
        <v>278</v>
      </c>
      <c r="F3" s="268" t="s">
        <v>279</v>
      </c>
      <c r="G3" s="386" t="s">
        <v>280</v>
      </c>
      <c r="H3" s="268" t="s">
        <v>281</v>
      </c>
      <c r="I3" s="268" t="s">
        <v>282</v>
      </c>
      <c r="J3" s="268" t="s">
        <v>283</v>
      </c>
      <c r="K3" s="268" t="s">
        <v>284</v>
      </c>
      <c r="L3" s="268" t="s">
        <v>285</v>
      </c>
      <c r="M3" s="268" t="s">
        <v>286</v>
      </c>
      <c r="N3" s="268" t="s">
        <v>287</v>
      </c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</row>
    <row r="4" spans="2:43" ht="14.25" customHeight="1">
      <c r="B4" s="314" t="s">
        <v>196</v>
      </c>
      <c r="C4" s="315">
        <f aca="true" t="shared" si="0" ref="C4:N4">SUM(C5:C7)</f>
        <v>201148.16791744842</v>
      </c>
      <c r="D4" s="315">
        <f t="shared" si="0"/>
        <v>216189.90177298314</v>
      </c>
      <c r="E4" s="315">
        <f t="shared" si="0"/>
        <v>227711.64213911828</v>
      </c>
      <c r="F4" s="315">
        <f t="shared" si="0"/>
        <v>239926.05390198974</v>
      </c>
      <c r="G4" s="387">
        <f t="shared" si="0"/>
        <v>252877.87831573313</v>
      </c>
      <c r="H4" s="315">
        <f t="shared" si="0"/>
        <v>266614.8563361183</v>
      </c>
      <c r="I4" s="315">
        <f t="shared" si="0"/>
        <v>281187.93344524805</v>
      </c>
      <c r="J4" s="315">
        <f t="shared" si="0"/>
        <v>296651.4785880244</v>
      </c>
      <c r="K4" s="315">
        <f t="shared" si="0"/>
        <v>313063.5181971452</v>
      </c>
      <c r="L4" s="315">
        <f t="shared" si="0"/>
        <v>330485.9863511829</v>
      </c>
      <c r="M4" s="315">
        <f t="shared" si="0"/>
        <v>348984.99218279275</v>
      </c>
      <c r="N4" s="315">
        <f t="shared" si="0"/>
        <v>368631.1057316313</v>
      </c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12"/>
      <c r="AK4" s="312"/>
      <c r="AL4" s="312"/>
      <c r="AM4" s="312"/>
      <c r="AN4" s="312"/>
      <c r="AO4" s="312"/>
      <c r="AP4" s="312"/>
      <c r="AQ4" s="312"/>
    </row>
    <row r="5" spans="2:43" ht="14.25" customHeight="1">
      <c r="B5" s="271" t="s">
        <v>0</v>
      </c>
      <c r="C5" s="311">
        <f aca="true" t="shared" si="1" ref="C5:N5">C9-C16</f>
        <v>104805.10975609756</v>
      </c>
      <c r="D5" s="311">
        <f t="shared" si="1"/>
        <v>112141.4674390244</v>
      </c>
      <c r="E5" s="311">
        <f t="shared" si="1"/>
        <v>119991.37015975613</v>
      </c>
      <c r="F5" s="311">
        <f t="shared" si="1"/>
        <v>128390.76607093905</v>
      </c>
      <c r="G5" s="388">
        <f t="shared" si="1"/>
        <v>137378.11969590478</v>
      </c>
      <c r="H5" s="311">
        <f t="shared" si="1"/>
        <v>146994.58807461814</v>
      </c>
      <c r="I5" s="311">
        <f t="shared" si="1"/>
        <v>157284.2092398414</v>
      </c>
      <c r="J5" s="311">
        <f t="shared" si="1"/>
        <v>168294.1038866303</v>
      </c>
      <c r="K5" s="311">
        <f t="shared" si="1"/>
        <v>180074.69115869448</v>
      </c>
      <c r="L5" s="311">
        <f t="shared" si="1"/>
        <v>192679.91953980312</v>
      </c>
      <c r="M5" s="311">
        <f t="shared" si="1"/>
        <v>206167.51390758934</v>
      </c>
      <c r="N5" s="311">
        <f t="shared" si="1"/>
        <v>220599.23988112062</v>
      </c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311"/>
      <c r="AQ5" s="311"/>
    </row>
    <row r="6" spans="2:43" ht="14.25" customHeight="1">
      <c r="B6" s="271" t="s">
        <v>201</v>
      </c>
      <c r="C6" s="311">
        <f aca="true" t="shared" si="2" ref="C6:N7">C13-C17</f>
        <v>17307.692307692312</v>
      </c>
      <c r="D6" s="311">
        <f t="shared" si="2"/>
        <v>18346.153846153844</v>
      </c>
      <c r="E6" s="311">
        <f t="shared" si="2"/>
        <v>19446.923076923078</v>
      </c>
      <c r="F6" s="311">
        <f t="shared" si="2"/>
        <v>20613.738461538465</v>
      </c>
      <c r="G6" s="388">
        <f t="shared" si="2"/>
        <v>21850.562769230775</v>
      </c>
      <c r="H6" s="311">
        <f t="shared" si="2"/>
        <v>23161.596535384626</v>
      </c>
      <c r="I6" s="311">
        <f t="shared" si="2"/>
        <v>24551.29232750769</v>
      </c>
      <c r="J6" s="311">
        <f t="shared" si="2"/>
        <v>26024.369867158166</v>
      </c>
      <c r="K6" s="311">
        <f t="shared" si="2"/>
        <v>27585.832059187655</v>
      </c>
      <c r="L6" s="311">
        <f t="shared" si="2"/>
        <v>29240.981982738915</v>
      </c>
      <c r="M6" s="311">
        <f t="shared" si="2"/>
        <v>30995.440901703245</v>
      </c>
      <c r="N6" s="311">
        <f t="shared" si="2"/>
        <v>32855.167355805446</v>
      </c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</row>
    <row r="7" spans="2:43" ht="14.25" customHeight="1">
      <c r="B7" s="271" t="s">
        <v>202</v>
      </c>
      <c r="C7" s="311">
        <f t="shared" si="2"/>
        <v>79035.36585365854</v>
      </c>
      <c r="D7" s="311">
        <f t="shared" si="2"/>
        <v>85702.28048780488</v>
      </c>
      <c r="E7" s="311">
        <f t="shared" si="2"/>
        <v>88273.34890243904</v>
      </c>
      <c r="F7" s="311">
        <f t="shared" si="2"/>
        <v>90921.54936951221</v>
      </c>
      <c r="G7" s="388">
        <f t="shared" si="2"/>
        <v>93649.19585059758</v>
      </c>
      <c r="H7" s="311">
        <f t="shared" si="2"/>
        <v>96458.67172611551</v>
      </c>
      <c r="I7" s="311">
        <f t="shared" si="2"/>
        <v>99352.43187789895</v>
      </c>
      <c r="J7" s="311">
        <f t="shared" si="2"/>
        <v>102333.00483423595</v>
      </c>
      <c r="K7" s="311">
        <f t="shared" si="2"/>
        <v>105402.99497926304</v>
      </c>
      <c r="L7" s="311">
        <f t="shared" si="2"/>
        <v>108565.08482864092</v>
      </c>
      <c r="M7" s="311">
        <f t="shared" si="2"/>
        <v>111822.03737350015</v>
      </c>
      <c r="N7" s="311">
        <f t="shared" si="2"/>
        <v>115176.69849470517</v>
      </c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</row>
    <row r="8" spans="2:43" ht="14.25" customHeight="1">
      <c r="B8" s="273" t="s">
        <v>193</v>
      </c>
      <c r="C8" s="313">
        <f>SUM(C9:C14)</f>
        <v>457975</v>
      </c>
      <c r="D8" s="313">
        <f>SUM(D9:D14)</f>
        <v>482567.9</v>
      </c>
      <c r="E8" s="313">
        <f aca="true" t="shared" si="3" ref="E8:N8">SUM(E9:E14)</f>
        <v>508642.36300000007</v>
      </c>
      <c r="F8" s="313">
        <f t="shared" si="3"/>
        <v>536293.55021</v>
      </c>
      <c r="G8" s="389">
        <f t="shared" si="3"/>
        <v>565622.9466787002</v>
      </c>
      <c r="H8" s="313">
        <f t="shared" si="3"/>
        <v>596738.788978829</v>
      </c>
      <c r="I8" s="313">
        <f t="shared" si="3"/>
        <v>629756.5220893458</v>
      </c>
      <c r="J8" s="313">
        <f t="shared" si="3"/>
        <v>664799.2874785627</v>
      </c>
      <c r="K8" s="313">
        <f t="shared" si="3"/>
        <v>701998.4445302878</v>
      </c>
      <c r="L8" s="313">
        <f t="shared" si="3"/>
        <v>741494.1276026531</v>
      </c>
      <c r="M8" s="313">
        <f t="shared" si="3"/>
        <v>783435.8411670644</v>
      </c>
      <c r="N8" s="313">
        <f t="shared" si="3"/>
        <v>827983.0956433737</v>
      </c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</row>
    <row r="9" spans="2:43" ht="14.25" customHeight="1">
      <c r="B9" s="271" t="s">
        <v>0</v>
      </c>
      <c r="C9" s="329">
        <f>C10*C11-C12</f>
        <v>210829.5</v>
      </c>
      <c r="D9" s="274">
        <f aca="true" t="shared" si="4" ref="D9:N9">D10*D11-D12</f>
        <v>225587.56500000003</v>
      </c>
      <c r="E9" s="274">
        <f t="shared" si="4"/>
        <v>241378.69455000004</v>
      </c>
      <c r="F9" s="274">
        <f t="shared" si="4"/>
        <v>258275.20316850004</v>
      </c>
      <c r="G9" s="389">
        <f t="shared" si="4"/>
        <v>276354.46739029506</v>
      </c>
      <c r="H9" s="274">
        <f t="shared" si="4"/>
        <v>295699.28010761575</v>
      </c>
      <c r="I9" s="274">
        <f t="shared" si="4"/>
        <v>316398.22971514886</v>
      </c>
      <c r="J9" s="274">
        <f t="shared" si="4"/>
        <v>338546.1057952093</v>
      </c>
      <c r="K9" s="274">
        <f t="shared" si="4"/>
        <v>362244.33320087404</v>
      </c>
      <c r="L9" s="274">
        <f t="shared" si="4"/>
        <v>387601.43652493524</v>
      </c>
      <c r="M9" s="274">
        <f t="shared" si="4"/>
        <v>414733.5370816807</v>
      </c>
      <c r="N9" s="274">
        <f t="shared" si="4"/>
        <v>443764.8846773984</v>
      </c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</row>
    <row r="10" spans="2:43" ht="14.25" customHeight="1">
      <c r="B10" s="325" t="s">
        <v>268</v>
      </c>
      <c r="C10" s="274">
        <f>'Парам.'!C22</f>
        <v>70</v>
      </c>
      <c r="D10" s="274">
        <f>C10*'Парам.'!$C23</f>
        <v>74.9</v>
      </c>
      <c r="E10" s="274">
        <f>D10*'Парам.'!$C23</f>
        <v>80.14300000000001</v>
      </c>
      <c r="F10" s="274">
        <f>E10*'Парам.'!$C23</f>
        <v>85.75301000000002</v>
      </c>
      <c r="G10" s="389">
        <f>F10*'Парам.'!$C23</f>
        <v>91.75572070000003</v>
      </c>
      <c r="H10" s="274">
        <f>G10*'Парам.'!$C23</f>
        <v>98.17862114900004</v>
      </c>
      <c r="I10" s="274">
        <f>H10*'Парам.'!$C23</f>
        <v>105.05112462943005</v>
      </c>
      <c r="J10" s="274">
        <f>I10*'Парам.'!$C23</f>
        <v>112.40470335349016</v>
      </c>
      <c r="K10" s="274">
        <f>J10*'Парам.'!$C23</f>
        <v>120.27303258823449</v>
      </c>
      <c r="L10" s="274">
        <f>K10*'Парам.'!$C23</f>
        <v>128.6921448694109</v>
      </c>
      <c r="M10" s="274">
        <f>L10*'Парам.'!$C23</f>
        <v>137.70059501026967</v>
      </c>
      <c r="N10" s="274">
        <f>M10*'Парам.'!$C23</f>
        <v>147.33963666098856</v>
      </c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</row>
    <row r="11" spans="2:43" ht="14.25" customHeight="1">
      <c r="B11" s="325" t="s">
        <v>47</v>
      </c>
      <c r="C11" s="274">
        <f>'Парам.'!$C19</f>
        <v>3105</v>
      </c>
      <c r="D11" s="274">
        <f>'Парам.'!$C19</f>
        <v>3105</v>
      </c>
      <c r="E11" s="274">
        <f>'Парам.'!$C19</f>
        <v>3105</v>
      </c>
      <c r="F11" s="274">
        <f>'Парам.'!$C19</f>
        <v>3105</v>
      </c>
      <c r="G11" s="389">
        <f>'Парам.'!$C19</f>
        <v>3105</v>
      </c>
      <c r="H11" s="274">
        <f>'Парам.'!$C19</f>
        <v>3105</v>
      </c>
      <c r="I11" s="274">
        <f>'Парам.'!$C19</f>
        <v>3105</v>
      </c>
      <c r="J11" s="274">
        <f>'Парам.'!$C19</f>
        <v>3105</v>
      </c>
      <c r="K11" s="274">
        <f>'Парам.'!$C19</f>
        <v>3105</v>
      </c>
      <c r="L11" s="274">
        <f>'Парам.'!$C19</f>
        <v>3105</v>
      </c>
      <c r="M11" s="274">
        <f>'Парам.'!$C19</f>
        <v>3105</v>
      </c>
      <c r="N11" s="274">
        <f>'Парам.'!$C19</f>
        <v>3105</v>
      </c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</row>
    <row r="12" spans="2:43" ht="14.25" customHeight="1">
      <c r="B12" s="325" t="s">
        <v>269</v>
      </c>
      <c r="C12" s="274">
        <f>C10*C11*'Парам.'!$C21</f>
        <v>6520.5</v>
      </c>
      <c r="D12" s="274">
        <f>D10*D11*'Парам.'!$C21</f>
        <v>6976.935</v>
      </c>
      <c r="E12" s="274">
        <f>E10*E11*'Парам.'!$C21</f>
        <v>7465.320450000001</v>
      </c>
      <c r="F12" s="274">
        <f>F10*F11*'Парам.'!$C21</f>
        <v>7987.892881500001</v>
      </c>
      <c r="G12" s="389">
        <f>G10*G11*'Парам.'!$C21</f>
        <v>8547.045383205</v>
      </c>
      <c r="H12" s="274">
        <f>H10*H11*'Парам.'!$C21</f>
        <v>9145.338560029353</v>
      </c>
      <c r="I12" s="274">
        <f>I10*I11*'Парам.'!$C21</f>
        <v>9785.512259231407</v>
      </c>
      <c r="J12" s="274">
        <f>J10*J11*'Парам.'!$C21</f>
        <v>10470.498117377607</v>
      </c>
      <c r="K12" s="274">
        <f>K10*K11*'Парам.'!$C21</f>
        <v>11203.432985594041</v>
      </c>
      <c r="L12" s="274">
        <f>L10*L11*'Парам.'!$C21</f>
        <v>11987.673294585626</v>
      </c>
      <c r="M12" s="274">
        <f>M10*M11*'Парам.'!$C21</f>
        <v>12826.81042520662</v>
      </c>
      <c r="N12" s="274">
        <f>N10*N11*'Парам.'!$C21</f>
        <v>13724.687154971085</v>
      </c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</row>
    <row r="13" spans="2:43" ht="14.25" customHeight="1">
      <c r="B13" s="271" t="s">
        <v>201</v>
      </c>
      <c r="C13" s="274">
        <f>'Парам.'!$C32*'Парам.'!$C34</f>
        <v>75000</v>
      </c>
      <c r="D13" s="274">
        <f>C13*'Парам.'!$C$35</f>
        <v>79500</v>
      </c>
      <c r="E13" s="274">
        <f>D13*'Парам.'!$C$35</f>
        <v>84270</v>
      </c>
      <c r="F13" s="274">
        <f>E13*'Парам.'!$C$35</f>
        <v>89326.20000000001</v>
      </c>
      <c r="G13" s="389">
        <f>F13*'Парам.'!$C$35</f>
        <v>94685.77200000001</v>
      </c>
      <c r="H13" s="274">
        <f>G13*'Парам.'!$C$35</f>
        <v>100366.91832000001</v>
      </c>
      <c r="I13" s="274">
        <f>H13*'Парам.'!$C$35</f>
        <v>106388.93341920002</v>
      </c>
      <c r="J13" s="274">
        <f>I13*'Парам.'!$C$35</f>
        <v>112772.26942435204</v>
      </c>
      <c r="K13" s="274">
        <f>J13*'Парам.'!$C$35</f>
        <v>119538.60558981316</v>
      </c>
      <c r="L13" s="274">
        <f>K13*'Парам.'!$C$35</f>
        <v>126710.92192520195</v>
      </c>
      <c r="M13" s="274">
        <f>L13*'Парам.'!$C$35</f>
        <v>134313.57724071408</v>
      </c>
      <c r="N13" s="274">
        <f>M13*'Парам.'!$C$35</f>
        <v>142372.39187515693</v>
      </c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</row>
    <row r="14" spans="2:43" ht="14.25" customHeight="1">
      <c r="B14" s="271" t="s">
        <v>202</v>
      </c>
      <c r="C14" s="197">
        <f>'Парам.'!$C25*'Парам.'!$C29-'Парам.'!$C25*'Парам.'!$C29*'Парам.'!$C27</f>
        <v>162450</v>
      </c>
      <c r="D14" s="274">
        <f>C14*'Парам.'!$C$30</f>
        <v>167323.5</v>
      </c>
      <c r="E14" s="274">
        <f>D14*'Парам.'!$C$30</f>
        <v>172343.20500000002</v>
      </c>
      <c r="F14" s="274">
        <f>E14*'Парам.'!$C$30</f>
        <v>177513.50115000003</v>
      </c>
      <c r="G14" s="389">
        <f>F14*'Парам.'!$C$30</f>
        <v>182838.90618450003</v>
      </c>
      <c r="H14" s="274">
        <f>G14*'Парам.'!$C$30</f>
        <v>188324.07337003504</v>
      </c>
      <c r="I14" s="274">
        <f>H14*'Парам.'!$C$30</f>
        <v>193973.79557113608</v>
      </c>
      <c r="J14" s="274">
        <f>I14*'Парам.'!$C$30</f>
        <v>199793.00943827018</v>
      </c>
      <c r="K14" s="274">
        <f>J14*'Парам.'!$C$30</f>
        <v>205786.7997214183</v>
      </c>
      <c r="L14" s="274">
        <f>K14*'Парам.'!$C$30</f>
        <v>211960.40371306086</v>
      </c>
      <c r="M14" s="274">
        <f>L14*'Парам.'!$C$30</f>
        <v>218319.2158244527</v>
      </c>
      <c r="N14" s="274">
        <f>M14*'Парам.'!$C$30</f>
        <v>224868.7922991863</v>
      </c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</row>
    <row r="15" spans="2:43" ht="14.25" customHeight="1">
      <c r="B15" s="273" t="s">
        <v>188</v>
      </c>
      <c r="C15" s="313">
        <f>SUM(C16:C18)</f>
        <v>247131.3320825516</v>
      </c>
      <c r="D15" s="313">
        <f aca="true" t="shared" si="5" ref="D15:N15">SUM(D16:D18)</f>
        <v>256221.1632270169</v>
      </c>
      <c r="E15" s="313">
        <f t="shared" si="5"/>
        <v>270280.2574108818</v>
      </c>
      <c r="F15" s="313">
        <f t="shared" si="5"/>
        <v>285188.85041651037</v>
      </c>
      <c r="G15" s="389">
        <f t="shared" si="5"/>
        <v>301001.267259062</v>
      </c>
      <c r="H15" s="313">
        <f t="shared" si="5"/>
        <v>317775.41546153254</v>
      </c>
      <c r="I15" s="313">
        <f t="shared" si="5"/>
        <v>335573.02526023693</v>
      </c>
      <c r="J15" s="313">
        <f t="shared" si="5"/>
        <v>354459.9060698071</v>
      </c>
      <c r="K15" s="313">
        <f t="shared" si="5"/>
        <v>374506.22031496034</v>
      </c>
      <c r="L15" s="313">
        <f t="shared" si="5"/>
        <v>395786.77581201517</v>
      </c>
      <c r="M15" s="313">
        <f t="shared" si="5"/>
        <v>418381.3379640548</v>
      </c>
      <c r="N15" s="313">
        <f t="shared" si="5"/>
        <v>442374.96312011045</v>
      </c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13"/>
      <c r="AL15" s="313"/>
      <c r="AM15" s="313"/>
      <c r="AN15" s="313"/>
      <c r="AO15" s="313"/>
      <c r="AP15" s="313"/>
      <c r="AQ15" s="313"/>
    </row>
    <row r="16" spans="2:43" ht="14.25" customHeight="1">
      <c r="B16" s="271" t="s">
        <v>0</v>
      </c>
      <c r="C16" s="329">
        <f>(C10*C11*100)/(100+'Парам.'!$C20)</f>
        <v>106024.39024390244</v>
      </c>
      <c r="D16" s="274">
        <f>(D10*D11*100)/(100+'Парам.'!$C20)</f>
        <v>113446.09756097563</v>
      </c>
      <c r="E16" s="274">
        <f>(E10*E11*100)/(100+'Парам.'!$C20)</f>
        <v>121387.32439024391</v>
      </c>
      <c r="F16" s="274">
        <f>(F10*F11*100)/(100+'Парам.'!$C20)</f>
        <v>129884.43709756099</v>
      </c>
      <c r="G16" s="389">
        <f>(G10*G11*100)/(100+'Парам.'!$C20)</f>
        <v>138976.34769439028</v>
      </c>
      <c r="H16" s="274">
        <f>(H10*H11*100)/(100+'Парам.'!$C20)</f>
        <v>148704.6920329976</v>
      </c>
      <c r="I16" s="274">
        <f>(I10*I11*100)/(100+'Парам.'!$C20)</f>
        <v>159114.02047530745</v>
      </c>
      <c r="J16" s="274">
        <f>(J10*J11*100)/(100+'Парам.'!$C20)</f>
        <v>170252.001908579</v>
      </c>
      <c r="K16" s="274">
        <f>(K10*K11*100)/(100+'Парам.'!$C20)</f>
        <v>182169.64204217956</v>
      </c>
      <c r="L16" s="274">
        <f>(L10*L11*100)/(100+'Парам.'!$C20)</f>
        <v>194921.51698513213</v>
      </c>
      <c r="M16" s="274">
        <f>(M10*M11*100)/(100+'Парам.'!$C20)</f>
        <v>208566.0231740914</v>
      </c>
      <c r="N16" s="274">
        <f>(N10*N11*100)/(100+'Парам.'!$C20)</f>
        <v>223165.6447962778</v>
      </c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</row>
    <row r="17" spans="2:43" ht="14.25" customHeight="1">
      <c r="B17" s="271" t="s">
        <v>201</v>
      </c>
      <c r="C17" s="274">
        <f>C13/(100+'Парам.'!$C33)*100</f>
        <v>57692.30769230769</v>
      </c>
      <c r="D17" s="274">
        <f>(D13*100)/(100+'Парам.'!$C33)</f>
        <v>61153.846153846156</v>
      </c>
      <c r="E17" s="274">
        <f>(E13*100)/(100+'Парам.'!$C33)</f>
        <v>64823.07692307692</v>
      </c>
      <c r="F17" s="274">
        <f>(F13*100)/(100+'Парам.'!$C33)</f>
        <v>68712.46153846155</v>
      </c>
      <c r="G17" s="389">
        <f>(G13*100)/(100+'Парам.'!$C33)</f>
        <v>72835.20923076924</v>
      </c>
      <c r="H17" s="274">
        <f>(H13*100)/(100+'Парам.'!$C33)</f>
        <v>77205.32178461539</v>
      </c>
      <c r="I17" s="274">
        <f>(I13*100)/(100+'Парам.'!$C33)</f>
        <v>81837.64109169233</v>
      </c>
      <c r="J17" s="274">
        <f>(J13*100)/(100+'Парам.'!$C33)</f>
        <v>86747.89955719387</v>
      </c>
      <c r="K17" s="274">
        <f>(K13*100)/(100+'Парам.'!$C33)</f>
        <v>91952.7735306255</v>
      </c>
      <c r="L17" s="274">
        <f>(L13*100)/(100+'Парам.'!$C33)</f>
        <v>97469.93994246304</v>
      </c>
      <c r="M17" s="274">
        <f>(M13*100)/(100+'Парам.'!$C33)</f>
        <v>103318.13633901083</v>
      </c>
      <c r="N17" s="274">
        <f>(N13*100)/(100+'Парам.'!$C33)</f>
        <v>109517.22451935148</v>
      </c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</row>
    <row r="18" spans="2:43" ht="14.25" customHeight="1">
      <c r="B18" s="271" t="s">
        <v>202</v>
      </c>
      <c r="C18" s="197">
        <f>'Парам.'!C25*'Парам.'!C29/(100+'Парам.'!C26)*100</f>
        <v>83414.63414634146</v>
      </c>
      <c r="D18" s="274">
        <f>('Финансовая модель'!D14*100)/(100+'Парам.'!$C$26)</f>
        <v>81621.21951219512</v>
      </c>
      <c r="E18" s="274">
        <f>('Финансовая модель'!E14*100)/(100+'Парам.'!$C$26)</f>
        <v>84069.85609756097</v>
      </c>
      <c r="F18" s="274">
        <f>('Финансовая модель'!F14*100)/(100+'Парам.'!$C$26)</f>
        <v>86591.95178048781</v>
      </c>
      <c r="G18" s="389">
        <f>('Финансовая модель'!G14*100)/(100+'Парам.'!$C$26)</f>
        <v>89189.71033390245</v>
      </c>
      <c r="H18" s="274">
        <f>('Финансовая модель'!H14*100)/(100+'Парам.'!$C$26)</f>
        <v>91865.40164391953</v>
      </c>
      <c r="I18" s="274">
        <f>('Финансовая модель'!I14*100)/(100+'Парам.'!$C$26)</f>
        <v>94621.36369323713</v>
      </c>
      <c r="J18" s="274">
        <f>('Финансовая модель'!J14*100)/(100+'Парам.'!$C$26)</f>
        <v>97460.00460403423</v>
      </c>
      <c r="K18" s="274">
        <f>('Финансовая модель'!K14*100)/(100+'Парам.'!$C$26)</f>
        <v>100383.80474215526</v>
      </c>
      <c r="L18" s="274">
        <f>('Финансовая модель'!L14*100)/(100+'Парам.'!$C$26)</f>
        <v>103395.31888441995</v>
      </c>
      <c r="M18" s="274">
        <f>('Финансовая модель'!M14*100)/(100+'Парам.'!$C$26)</f>
        <v>106497.17845095255</v>
      </c>
      <c r="N18" s="274">
        <f>('Финансовая модель'!N14*100)/(100+'Парам.'!$C$26)</f>
        <v>109692.09380448112</v>
      </c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</row>
    <row r="19" spans="2:43" ht="14.25" customHeight="1">
      <c r="B19" s="272" t="s">
        <v>274</v>
      </c>
      <c r="C19" s="275">
        <f>SUM(C20:C27)</f>
        <v>47300</v>
      </c>
      <c r="D19" s="275">
        <f>SUM(D20:D27)</f>
        <v>48300</v>
      </c>
      <c r="E19" s="275">
        <f aca="true" t="shared" si="6" ref="E19:N19">SUM(E20:E27)</f>
        <v>49300</v>
      </c>
      <c r="F19" s="275">
        <f t="shared" si="6"/>
        <v>50300</v>
      </c>
      <c r="G19" s="390">
        <f t="shared" si="6"/>
        <v>51300</v>
      </c>
      <c r="H19" s="275">
        <f t="shared" si="6"/>
        <v>52300</v>
      </c>
      <c r="I19" s="275">
        <f t="shared" si="6"/>
        <v>53300</v>
      </c>
      <c r="J19" s="275">
        <f t="shared" si="6"/>
        <v>54300</v>
      </c>
      <c r="K19" s="275">
        <f t="shared" si="6"/>
        <v>55300</v>
      </c>
      <c r="L19" s="275">
        <f t="shared" si="6"/>
        <v>56300</v>
      </c>
      <c r="M19" s="275">
        <f t="shared" si="6"/>
        <v>57300</v>
      </c>
      <c r="N19" s="275">
        <f t="shared" si="6"/>
        <v>58300</v>
      </c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</row>
    <row r="20" spans="2:43" ht="14.25" customHeight="1">
      <c r="B20" s="267" t="s">
        <v>272</v>
      </c>
      <c r="C20" s="274">
        <f>'Парам.'!$C$10</f>
        <v>20000</v>
      </c>
      <c r="D20" s="274">
        <f>'Парам.'!$C$10</f>
        <v>20000</v>
      </c>
      <c r="E20" s="274">
        <f>'Парам.'!$C$10</f>
        <v>20000</v>
      </c>
      <c r="F20" s="274">
        <f>'Парам.'!$C$10</f>
        <v>20000</v>
      </c>
      <c r="G20" s="389">
        <f>'Парам.'!$C$10</f>
        <v>20000</v>
      </c>
      <c r="H20" s="274">
        <f>'Парам.'!$C$10</f>
        <v>20000</v>
      </c>
      <c r="I20" s="274">
        <f>'Парам.'!$C$10</f>
        <v>20000</v>
      </c>
      <c r="J20" s="274">
        <f>'Парам.'!$C$10</f>
        <v>20000</v>
      </c>
      <c r="K20" s="274">
        <f>'Парам.'!$C$10</f>
        <v>20000</v>
      </c>
      <c r="L20" s="274">
        <f>'Парам.'!$C$10</f>
        <v>20000</v>
      </c>
      <c r="M20" s="274">
        <f>'Парам.'!$C$10</f>
        <v>20000</v>
      </c>
      <c r="N20" s="274">
        <f>'Парам.'!$C$10</f>
        <v>20000</v>
      </c>
      <c r="O20" s="274"/>
      <c r="P20" s="274"/>
      <c r="Q20" s="274"/>
      <c r="R20" s="274"/>
      <c r="S20" s="274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</row>
    <row r="21" spans="2:43" ht="14.25" customHeight="1">
      <c r="B21" s="267" t="s">
        <v>203</v>
      </c>
      <c r="C21" s="274">
        <v>3000</v>
      </c>
      <c r="D21" s="274">
        <v>3000</v>
      </c>
      <c r="E21" s="274">
        <v>3000</v>
      </c>
      <c r="F21" s="274">
        <v>3000</v>
      </c>
      <c r="G21" s="389">
        <v>3000</v>
      </c>
      <c r="H21" s="274">
        <v>3000</v>
      </c>
      <c r="I21" s="274">
        <v>3000</v>
      </c>
      <c r="J21" s="274">
        <v>3000</v>
      </c>
      <c r="K21" s="274">
        <v>3000</v>
      </c>
      <c r="L21" s="274">
        <v>3000</v>
      </c>
      <c r="M21" s="274">
        <v>3000</v>
      </c>
      <c r="N21" s="274">
        <v>3000</v>
      </c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</row>
    <row r="22" spans="2:43" ht="14.25" customHeight="1">
      <c r="B22" s="267" t="s">
        <v>200</v>
      </c>
      <c r="C22" s="274">
        <f>'Парам.'!$C$45</f>
        <v>2100</v>
      </c>
      <c r="D22" s="274">
        <f>'Парам.'!$C$45</f>
        <v>2100</v>
      </c>
      <c r="E22" s="274">
        <f>'Парам.'!$C$45</f>
        <v>2100</v>
      </c>
      <c r="F22" s="274">
        <f>'Парам.'!$C$45</f>
        <v>2100</v>
      </c>
      <c r="G22" s="389">
        <f>'Парам.'!$C$45</f>
        <v>2100</v>
      </c>
      <c r="H22" s="274">
        <f>'Парам.'!$C$45</f>
        <v>2100</v>
      </c>
      <c r="I22" s="274">
        <f>'Парам.'!$C$45</f>
        <v>2100</v>
      </c>
      <c r="J22" s="274">
        <f>'Парам.'!$C$45</f>
        <v>2100</v>
      </c>
      <c r="K22" s="274">
        <f>'Парам.'!$C$45</f>
        <v>2100</v>
      </c>
      <c r="L22" s="274">
        <f>'Парам.'!$C$45</f>
        <v>2100</v>
      </c>
      <c r="M22" s="274">
        <f>'Парам.'!$C$45</f>
        <v>2100</v>
      </c>
      <c r="N22" s="274">
        <f>'Парам.'!$C$45</f>
        <v>2100</v>
      </c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</row>
    <row r="23" spans="2:43" ht="14.25" customHeight="1">
      <c r="B23" s="267" t="s">
        <v>197</v>
      </c>
      <c r="C23" s="274">
        <f>'Парам.'!$C42</f>
        <v>700</v>
      </c>
      <c r="D23" s="274">
        <f>'Парам.'!$C42</f>
        <v>700</v>
      </c>
      <c r="E23" s="274">
        <f>'Парам.'!$C42</f>
        <v>700</v>
      </c>
      <c r="F23" s="274">
        <f>'Парам.'!$C42</f>
        <v>700</v>
      </c>
      <c r="G23" s="389">
        <f>'Парам.'!$C42</f>
        <v>700</v>
      </c>
      <c r="H23" s="274">
        <f>'Парам.'!$C42</f>
        <v>700</v>
      </c>
      <c r="I23" s="274">
        <f>'Парам.'!$C42</f>
        <v>700</v>
      </c>
      <c r="J23" s="274">
        <f>'Парам.'!$C42</f>
        <v>700</v>
      </c>
      <c r="K23" s="274">
        <f>'Парам.'!$C42</f>
        <v>700</v>
      </c>
      <c r="L23" s="274">
        <f>'Парам.'!$C42</f>
        <v>700</v>
      </c>
      <c r="M23" s="274">
        <f>'Парам.'!$C42</f>
        <v>700</v>
      </c>
      <c r="N23" s="274">
        <f>'Парам.'!$C42</f>
        <v>700</v>
      </c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66"/>
      <c r="AP23" s="266"/>
      <c r="AQ23" s="266"/>
    </row>
    <row r="24" spans="2:43" ht="14.25" customHeight="1">
      <c r="B24" s="267" t="s">
        <v>199</v>
      </c>
      <c r="C24" s="274">
        <v>500</v>
      </c>
      <c r="D24" s="274">
        <v>500</v>
      </c>
      <c r="E24" s="274">
        <v>500</v>
      </c>
      <c r="F24" s="274">
        <v>500</v>
      </c>
      <c r="G24" s="389">
        <v>500</v>
      </c>
      <c r="H24" s="274">
        <v>500</v>
      </c>
      <c r="I24" s="274">
        <v>500</v>
      </c>
      <c r="J24" s="274">
        <v>500</v>
      </c>
      <c r="K24" s="274">
        <v>500</v>
      </c>
      <c r="L24" s="274">
        <v>500</v>
      </c>
      <c r="M24" s="274">
        <v>500</v>
      </c>
      <c r="N24" s="274">
        <v>500</v>
      </c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/>
    </row>
    <row r="25" spans="2:43" ht="14.25" customHeight="1">
      <c r="B25" s="267" t="s">
        <v>291</v>
      </c>
      <c r="C25" s="274">
        <v>6000</v>
      </c>
      <c r="D25" s="274">
        <v>6000</v>
      </c>
      <c r="E25" s="274">
        <v>6000</v>
      </c>
      <c r="F25" s="274">
        <v>6000</v>
      </c>
      <c r="G25" s="389">
        <v>6000</v>
      </c>
      <c r="H25" s="274">
        <v>6000</v>
      </c>
      <c r="I25" s="274">
        <v>6000</v>
      </c>
      <c r="J25" s="274">
        <v>6000</v>
      </c>
      <c r="K25" s="274">
        <v>6000</v>
      </c>
      <c r="L25" s="274">
        <v>6000</v>
      </c>
      <c r="M25" s="274">
        <v>6000</v>
      </c>
      <c r="N25" s="274">
        <v>6000</v>
      </c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  <c r="AO25" s="274"/>
      <c r="AP25" s="274"/>
      <c r="AQ25" s="274"/>
    </row>
    <row r="26" spans="2:43" ht="14.25" customHeight="1">
      <c r="B26" s="267" t="s">
        <v>292</v>
      </c>
      <c r="C26" s="274">
        <v>5000</v>
      </c>
      <c r="D26" s="274">
        <v>6000</v>
      </c>
      <c r="E26" s="274">
        <v>7000</v>
      </c>
      <c r="F26" s="274">
        <v>8000</v>
      </c>
      <c r="G26" s="389">
        <v>9000</v>
      </c>
      <c r="H26" s="274">
        <v>10000</v>
      </c>
      <c r="I26" s="274">
        <v>11000</v>
      </c>
      <c r="J26" s="274">
        <v>12000</v>
      </c>
      <c r="K26" s="274">
        <v>13000</v>
      </c>
      <c r="L26" s="274">
        <v>14000</v>
      </c>
      <c r="M26" s="274">
        <v>15000</v>
      </c>
      <c r="N26" s="274">
        <v>16000</v>
      </c>
      <c r="O26" s="274"/>
      <c r="P26" s="274"/>
      <c r="Q26" s="274"/>
      <c r="R26" s="274"/>
      <c r="S26" s="274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</row>
    <row r="27" spans="2:43" ht="14.25" customHeight="1">
      <c r="B27" s="267" t="s">
        <v>204</v>
      </c>
      <c r="C27" s="274">
        <v>10000</v>
      </c>
      <c r="D27" s="274">
        <v>10000</v>
      </c>
      <c r="E27" s="274">
        <v>10000</v>
      </c>
      <c r="F27" s="274">
        <v>10000</v>
      </c>
      <c r="G27" s="389">
        <v>10000</v>
      </c>
      <c r="H27" s="274">
        <v>10000</v>
      </c>
      <c r="I27" s="274">
        <v>10000</v>
      </c>
      <c r="J27" s="274">
        <v>10000</v>
      </c>
      <c r="K27" s="274">
        <v>10000</v>
      </c>
      <c r="L27" s="274">
        <v>10000</v>
      </c>
      <c r="M27" s="274">
        <v>10000</v>
      </c>
      <c r="N27" s="274">
        <v>10000</v>
      </c>
      <c r="O27" s="274"/>
      <c r="P27" s="274"/>
      <c r="Q27" s="274"/>
      <c r="R27" s="274"/>
      <c r="S27" s="274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</row>
    <row r="28" spans="2:43" ht="14.25" customHeight="1">
      <c r="B28" s="272" t="s">
        <v>275</v>
      </c>
      <c r="C28" s="275">
        <f>SUM(C29:C33)</f>
        <v>44862.788020825516</v>
      </c>
      <c r="D28" s="275">
        <f>SUM(D29:D33)</f>
        <v>45051.08956127017</v>
      </c>
      <c r="E28" s="275">
        <f aca="true" t="shared" si="7" ref="E28:N28">SUM(E29:E33)</f>
        <v>45295.90195813882</v>
      </c>
      <c r="F28" s="275">
        <f t="shared" si="7"/>
        <v>45556.5048450772</v>
      </c>
      <c r="G28" s="390">
        <f t="shared" si="7"/>
        <v>45833.95215736657</v>
      </c>
      <c r="H28" s="275">
        <f t="shared" si="7"/>
        <v>46129.36940332559</v>
      </c>
      <c r="I28" s="275">
        <f t="shared" si="7"/>
        <v>46443.95856872235</v>
      </c>
      <c r="J28" s="275">
        <f t="shared" si="7"/>
        <v>46779.00335894645</v>
      </c>
      <c r="K28" s="275">
        <f t="shared" si="7"/>
        <v>47135.87480227537</v>
      </c>
      <c r="L28" s="275">
        <f t="shared" si="7"/>
        <v>47516.03723918472</v>
      </c>
      <c r="M28" s="275">
        <f t="shared" si="7"/>
        <v>47921.05472437964</v>
      </c>
      <c r="N28" s="275">
        <f t="shared" si="7"/>
        <v>48352.597870071935</v>
      </c>
      <c r="O28" s="275"/>
      <c r="P28" s="275"/>
      <c r="Q28" s="275"/>
      <c r="R28" s="275"/>
      <c r="S28" s="275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270"/>
      <c r="AQ28" s="270"/>
    </row>
    <row r="29" spans="2:43" ht="14.25" customHeight="1">
      <c r="B29" s="267" t="s">
        <v>259</v>
      </c>
      <c r="C29" s="274">
        <v>15000</v>
      </c>
      <c r="D29" s="274">
        <v>15000</v>
      </c>
      <c r="E29" s="274">
        <v>15000</v>
      </c>
      <c r="F29" s="274">
        <v>15000</v>
      </c>
      <c r="G29" s="389">
        <v>15000</v>
      </c>
      <c r="H29" s="274">
        <v>15000</v>
      </c>
      <c r="I29" s="274">
        <v>15000</v>
      </c>
      <c r="J29" s="274">
        <v>15000</v>
      </c>
      <c r="K29" s="274">
        <v>15000</v>
      </c>
      <c r="L29" s="274">
        <v>15000</v>
      </c>
      <c r="M29" s="274">
        <v>15000</v>
      </c>
      <c r="N29" s="274">
        <v>15000</v>
      </c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66"/>
      <c r="AP29" s="266"/>
      <c r="AQ29" s="266"/>
    </row>
    <row r="30" spans="2:43" ht="14.25" customHeight="1">
      <c r="B30" s="267" t="s">
        <v>261</v>
      </c>
      <c r="C30" s="274">
        <f>1000+C9*0.33*'Парам.'!$C47</f>
        <v>2391.4746999999998</v>
      </c>
      <c r="D30" s="274">
        <f>1000+D9*0.33*'Парам.'!$C47</f>
        <v>2488.877929</v>
      </c>
      <c r="E30" s="274">
        <f>1000+E9*0.33*'Парам.'!$C47</f>
        <v>2593.0993840300007</v>
      </c>
      <c r="F30" s="274">
        <f>1000+F9*0.33*'Парам.'!$C47</f>
        <v>2704.6163409121</v>
      </c>
      <c r="G30" s="389">
        <f>1000+G9*0.33*'Парам.'!$C47</f>
        <v>2823.9394847759477</v>
      </c>
      <c r="H30" s="274">
        <f>1000+H9*0.33*'Парам.'!$C47</f>
        <v>2951.615248710264</v>
      </c>
      <c r="I30" s="274">
        <f>1000+I9*0.33*'Парам.'!$C47</f>
        <v>3088.2283161199825</v>
      </c>
      <c r="J30" s="274">
        <f>1000+J9*0.33*'Парам.'!$C47</f>
        <v>3234.4042982483816</v>
      </c>
      <c r="K30" s="274">
        <f>1000+K9*0.33*'Парам.'!$C47</f>
        <v>3390.812599125769</v>
      </c>
      <c r="L30" s="274">
        <f>1000+L9*0.33*'Парам.'!$C47</f>
        <v>3558.1694810645727</v>
      </c>
      <c r="M30" s="274">
        <f>1000+M9*0.33*'Парам.'!$C47</f>
        <v>3737.2413447390927</v>
      </c>
      <c r="N30" s="274">
        <f>1000+N9*0.33*'Парам.'!$C47</f>
        <v>3928.84823887083</v>
      </c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266"/>
      <c r="AP30" s="266"/>
      <c r="AQ30" s="266"/>
    </row>
    <row r="31" spans="2:43" ht="14.25" customHeight="1">
      <c r="B31" s="267" t="s">
        <v>262</v>
      </c>
      <c r="C31" s="274">
        <v>25000</v>
      </c>
      <c r="D31" s="274">
        <v>25000</v>
      </c>
      <c r="E31" s="274">
        <v>25000</v>
      </c>
      <c r="F31" s="274">
        <v>25000</v>
      </c>
      <c r="G31" s="389">
        <v>25000</v>
      </c>
      <c r="H31" s="274">
        <v>25000</v>
      </c>
      <c r="I31" s="274">
        <v>25000</v>
      </c>
      <c r="J31" s="274">
        <v>25000</v>
      </c>
      <c r="K31" s="274">
        <v>25000</v>
      </c>
      <c r="L31" s="274">
        <v>25000</v>
      </c>
      <c r="M31" s="274">
        <v>25000</v>
      </c>
      <c r="N31" s="274">
        <v>25000</v>
      </c>
      <c r="O31" s="274"/>
      <c r="P31" s="274"/>
      <c r="Q31" s="274"/>
      <c r="R31" s="274"/>
      <c r="S31" s="274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266"/>
      <c r="AP31" s="266"/>
      <c r="AQ31" s="266"/>
    </row>
    <row r="32" spans="2:43" ht="14.25" customHeight="1">
      <c r="B32" s="267" t="s">
        <v>198</v>
      </c>
      <c r="C32" s="274">
        <f>C15*'Парам.'!$C48</f>
        <v>2471.3133208255163</v>
      </c>
      <c r="D32" s="274">
        <f>D15*'Парам.'!$C48</f>
        <v>2562.211632270169</v>
      </c>
      <c r="E32" s="274">
        <f>E15*'Парам.'!$C48</f>
        <v>2702.802574108818</v>
      </c>
      <c r="F32" s="274">
        <f>F15*'Парам.'!$C48</f>
        <v>2851.8885041651038</v>
      </c>
      <c r="G32" s="389">
        <f>G15*'Парам.'!$C48</f>
        <v>3010.01267259062</v>
      </c>
      <c r="H32" s="274">
        <f>H15*'Парам.'!$C48</f>
        <v>3177.7541546153257</v>
      </c>
      <c r="I32" s="274">
        <f>I15*'Парам.'!$C48</f>
        <v>3355.7302526023695</v>
      </c>
      <c r="J32" s="274">
        <f>J15*'Парам.'!$C48</f>
        <v>3544.5990606980713</v>
      </c>
      <c r="K32" s="274">
        <f>K15*'Парам.'!$C48</f>
        <v>3745.0622031496036</v>
      </c>
      <c r="L32" s="274">
        <f>L15*'Парам.'!$C48</f>
        <v>3957.867758120152</v>
      </c>
      <c r="M32" s="274">
        <f>M15*'Парам.'!$C48</f>
        <v>4183.813379640548</v>
      </c>
      <c r="N32" s="274">
        <f>N15*'Парам.'!$C48</f>
        <v>4423.749631201104</v>
      </c>
      <c r="O32" s="274"/>
      <c r="P32" s="274"/>
      <c r="Q32" s="274"/>
      <c r="R32" s="274"/>
      <c r="S32" s="274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266"/>
      <c r="AP32" s="266"/>
      <c r="AQ32" s="266"/>
    </row>
    <row r="33" spans="2:43" ht="14.25" customHeight="1">
      <c r="B33" s="267"/>
      <c r="C33" s="274"/>
      <c r="D33" s="274"/>
      <c r="E33" s="274"/>
      <c r="F33" s="274"/>
      <c r="G33" s="389"/>
      <c r="H33" s="274"/>
      <c r="I33" s="274"/>
      <c r="J33" s="274"/>
      <c r="K33" s="274"/>
      <c r="L33" s="274"/>
      <c r="M33" s="274"/>
      <c r="N33" s="274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266"/>
      <c r="AP33" s="266"/>
      <c r="AQ33" s="266"/>
    </row>
    <row r="34" spans="2:43" ht="14.25" customHeight="1">
      <c r="B34" s="269" t="s">
        <v>195</v>
      </c>
      <c r="C34" s="316">
        <f>C4-C19-C28</f>
        <v>108985.37989662291</v>
      </c>
      <c r="D34" s="316">
        <f aca="true" t="shared" si="8" ref="D34:N34">D4-D19-D28</f>
        <v>122838.81221171297</v>
      </c>
      <c r="E34" s="316">
        <f t="shared" si="8"/>
        <v>133115.74018097945</v>
      </c>
      <c r="F34" s="316">
        <f t="shared" si="8"/>
        <v>144069.54905691254</v>
      </c>
      <c r="G34" s="390">
        <f t="shared" si="8"/>
        <v>155743.92615836655</v>
      </c>
      <c r="H34" s="316">
        <f t="shared" si="8"/>
        <v>168185.4869327927</v>
      </c>
      <c r="I34" s="316">
        <f t="shared" si="8"/>
        <v>181443.9748765257</v>
      </c>
      <c r="J34" s="316">
        <f t="shared" si="8"/>
        <v>195572.47522907794</v>
      </c>
      <c r="K34" s="316">
        <f t="shared" si="8"/>
        <v>210627.6433948698</v>
      </c>
      <c r="L34" s="316">
        <f t="shared" si="8"/>
        <v>226669.9491119982</v>
      </c>
      <c r="M34" s="316">
        <f t="shared" si="8"/>
        <v>243763.9374584131</v>
      </c>
      <c r="N34" s="316">
        <f t="shared" si="8"/>
        <v>261978.50786155934</v>
      </c>
      <c r="O34" s="316"/>
      <c r="P34" s="316"/>
      <c r="Q34" s="316"/>
      <c r="R34" s="316"/>
      <c r="S34" s="31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6"/>
      <c r="AO34" s="266"/>
      <c r="AP34" s="266"/>
      <c r="AQ34" s="266"/>
    </row>
    <row r="35" spans="2:43" ht="14.25" customHeight="1">
      <c r="B35" s="266"/>
      <c r="C35" s="274"/>
      <c r="D35" s="274"/>
      <c r="E35" s="274"/>
      <c r="F35" s="274"/>
      <c r="G35" s="389"/>
      <c r="H35" s="274"/>
      <c r="I35" s="274"/>
      <c r="J35" s="274"/>
      <c r="K35" s="274"/>
      <c r="L35" s="274"/>
      <c r="M35" s="274"/>
      <c r="N35" s="274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6"/>
      <c r="AO35" s="266"/>
      <c r="AP35" s="266"/>
      <c r="AQ35" s="266"/>
    </row>
    <row r="36" spans="2:43" ht="14.25" customHeight="1">
      <c r="B36" s="269" t="s">
        <v>263</v>
      </c>
      <c r="C36" s="274"/>
      <c r="D36" s="274"/>
      <c r="E36" s="274"/>
      <c r="F36" s="274"/>
      <c r="G36" s="389"/>
      <c r="H36" s="274"/>
      <c r="I36" s="274"/>
      <c r="J36" s="274"/>
      <c r="K36" s="274"/>
      <c r="L36" s="274"/>
      <c r="M36" s="274"/>
      <c r="N36" s="274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66"/>
      <c r="AN36" s="266"/>
      <c r="AO36" s="266"/>
      <c r="AP36" s="266"/>
      <c r="AQ36" s="266"/>
    </row>
    <row r="37" spans="2:43" ht="14.25" customHeight="1">
      <c r="B37" s="266" t="s">
        <v>189</v>
      </c>
      <c r="C37" s="274"/>
      <c r="D37" s="274"/>
      <c r="E37" s="274"/>
      <c r="F37" s="274"/>
      <c r="G37" s="389"/>
      <c r="H37" s="274"/>
      <c r="I37" s="274"/>
      <c r="J37" s="274"/>
      <c r="K37" s="274"/>
      <c r="L37" s="274"/>
      <c r="M37" s="274"/>
      <c r="N37" s="274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266"/>
      <c r="AP37" s="266"/>
      <c r="AQ37" s="266"/>
    </row>
    <row r="38" spans="2:43" ht="14.25" customHeight="1">
      <c r="B38" s="266" t="s">
        <v>190</v>
      </c>
      <c r="C38" s="274"/>
      <c r="D38" s="274"/>
      <c r="E38" s="274"/>
      <c r="F38" s="274"/>
      <c r="G38" s="389"/>
      <c r="H38" s="274"/>
      <c r="I38" s="274"/>
      <c r="J38" s="274"/>
      <c r="K38" s="274"/>
      <c r="L38" s="274"/>
      <c r="M38" s="274"/>
      <c r="N38" s="274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266"/>
      <c r="AP38" s="266"/>
      <c r="AQ38" s="266"/>
    </row>
    <row r="39" spans="2:43" ht="14.25" customHeight="1">
      <c r="B39" s="266"/>
      <c r="C39" s="274"/>
      <c r="D39" s="274"/>
      <c r="E39" s="274"/>
      <c r="F39" s="274"/>
      <c r="G39" s="389"/>
      <c r="H39" s="274"/>
      <c r="I39" s="274"/>
      <c r="J39" s="274"/>
      <c r="K39" s="274"/>
      <c r="L39" s="274"/>
      <c r="M39" s="274"/>
      <c r="N39" s="274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266"/>
      <c r="AK39" s="266"/>
      <c r="AL39" s="266"/>
      <c r="AM39" s="266"/>
      <c r="AN39" s="266"/>
      <c r="AO39" s="266"/>
      <c r="AP39" s="266"/>
      <c r="AQ39" s="266"/>
    </row>
    <row r="40" spans="2:43" ht="14.25" customHeight="1">
      <c r="B40" s="269" t="s">
        <v>260</v>
      </c>
      <c r="C40" s="274">
        <f>C34-C36+C37-C38</f>
        <v>108985.37989662291</v>
      </c>
      <c r="D40" s="274">
        <f aca="true" t="shared" si="9" ref="D40:N40">D34-D36+D37-D38</f>
        <v>122838.81221171297</v>
      </c>
      <c r="E40" s="274">
        <f t="shared" si="9"/>
        <v>133115.74018097945</v>
      </c>
      <c r="F40" s="274">
        <f t="shared" si="9"/>
        <v>144069.54905691254</v>
      </c>
      <c r="G40" s="389">
        <f t="shared" si="9"/>
        <v>155743.92615836655</v>
      </c>
      <c r="H40" s="274">
        <f t="shared" si="9"/>
        <v>168185.4869327927</v>
      </c>
      <c r="I40" s="274">
        <f t="shared" si="9"/>
        <v>181443.9748765257</v>
      </c>
      <c r="J40" s="274">
        <f t="shared" si="9"/>
        <v>195572.47522907794</v>
      </c>
      <c r="K40" s="274">
        <f t="shared" si="9"/>
        <v>210627.6433948698</v>
      </c>
      <c r="L40" s="274">
        <f t="shared" si="9"/>
        <v>226669.9491119982</v>
      </c>
      <c r="M40" s="274">
        <f t="shared" si="9"/>
        <v>243763.9374584131</v>
      </c>
      <c r="N40" s="274">
        <f t="shared" si="9"/>
        <v>261978.50786155934</v>
      </c>
      <c r="O40" s="274"/>
      <c r="P40" s="274"/>
      <c r="Q40" s="274"/>
      <c r="R40" s="274"/>
      <c r="S40" s="274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6"/>
      <c r="AJ40" s="266"/>
      <c r="AK40" s="266"/>
      <c r="AL40" s="266"/>
      <c r="AM40" s="266"/>
      <c r="AN40" s="266"/>
      <c r="AO40" s="266"/>
      <c r="AP40" s="266"/>
      <c r="AQ40" s="266"/>
    </row>
    <row r="41" spans="2:43" ht="14.25" customHeight="1">
      <c r="B41" s="266" t="s">
        <v>191</v>
      </c>
      <c r="C41" s="274">
        <v>3000</v>
      </c>
      <c r="D41" s="274">
        <v>3000</v>
      </c>
      <c r="E41" s="274">
        <v>3000</v>
      </c>
      <c r="F41" s="274">
        <v>3000</v>
      </c>
      <c r="G41" s="389">
        <v>3000</v>
      </c>
      <c r="H41" s="274">
        <v>3000</v>
      </c>
      <c r="I41" s="274">
        <v>3000</v>
      </c>
      <c r="J41" s="274">
        <v>3000</v>
      </c>
      <c r="K41" s="274">
        <v>3000</v>
      </c>
      <c r="L41" s="274">
        <v>3000</v>
      </c>
      <c r="M41" s="274">
        <v>3000</v>
      </c>
      <c r="N41" s="274">
        <v>3000</v>
      </c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6"/>
      <c r="AO41" s="266"/>
      <c r="AP41" s="266"/>
      <c r="AQ41" s="266"/>
    </row>
    <row r="42" spans="2:43" ht="14.25" customHeight="1">
      <c r="B42" s="266" t="s">
        <v>192</v>
      </c>
      <c r="C42" s="274">
        <f aca="true" t="shared" si="10" ref="C42:N42">C40-C41</f>
        <v>105985.37989662291</v>
      </c>
      <c r="D42" s="274">
        <f t="shared" si="10"/>
        <v>119838.81221171297</v>
      </c>
      <c r="E42" s="274">
        <f t="shared" si="10"/>
        <v>130115.74018097945</v>
      </c>
      <c r="F42" s="274">
        <f t="shared" si="10"/>
        <v>141069.54905691254</v>
      </c>
      <c r="G42" s="389">
        <f t="shared" si="10"/>
        <v>152743.92615836655</v>
      </c>
      <c r="H42" s="274">
        <f t="shared" si="10"/>
        <v>165185.4869327927</v>
      </c>
      <c r="I42" s="274">
        <f t="shared" si="10"/>
        <v>178443.9748765257</v>
      </c>
      <c r="J42" s="274">
        <f t="shared" si="10"/>
        <v>192572.47522907794</v>
      </c>
      <c r="K42" s="274">
        <f t="shared" si="10"/>
        <v>207627.6433948698</v>
      </c>
      <c r="L42" s="274">
        <f t="shared" si="10"/>
        <v>223669.9491119982</v>
      </c>
      <c r="M42" s="274">
        <f t="shared" si="10"/>
        <v>240763.9374584131</v>
      </c>
      <c r="N42" s="274">
        <f t="shared" si="10"/>
        <v>258978.50786155934</v>
      </c>
      <c r="O42" s="274"/>
      <c r="P42" s="274"/>
      <c r="Q42" s="274"/>
      <c r="R42" s="274"/>
      <c r="S42" s="274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</row>
    <row r="44" spans="2:43" ht="14.25" customHeight="1">
      <c r="B44" s="318" t="s">
        <v>249</v>
      </c>
      <c r="C44" s="317">
        <f>C42/C8</f>
        <v>0.23142175860390393</v>
      </c>
      <c r="D44" s="317">
        <f aca="true" t="shared" si="11" ref="D44:N44">D42/D8</f>
        <v>0.24833564812685005</v>
      </c>
      <c r="E44" s="317">
        <f t="shared" si="11"/>
        <v>0.2558098767345091</v>
      </c>
      <c r="F44" s="317">
        <f t="shared" si="11"/>
        <v>0.2630453955705285</v>
      </c>
      <c r="G44" s="391">
        <f t="shared" si="11"/>
        <v>0.2700454906493249</v>
      </c>
      <c r="H44" s="317">
        <f t="shared" si="11"/>
        <v>0.2768137248384119</v>
      </c>
      <c r="I44" s="317">
        <f t="shared" si="11"/>
        <v>0.28335391316711</v>
      </c>
      <c r="J44" s="317">
        <f t="shared" si="11"/>
        <v>0.2896700987142494</v>
      </c>
      <c r="K44" s="317">
        <f t="shared" si="11"/>
        <v>0.2957665291321193</v>
      </c>
      <c r="L44" s="317">
        <f t="shared" si="11"/>
        <v>0.3016476338594241</v>
      </c>
      <c r="M44" s="317">
        <f t="shared" si="11"/>
        <v>0.3073180020711756</v>
      </c>
      <c r="N44" s="317">
        <f t="shared" si="11"/>
        <v>0.3127823614083853</v>
      </c>
      <c r="O44" s="317"/>
      <c r="P44" s="317"/>
      <c r="Q44" s="317"/>
      <c r="R44" s="317"/>
      <c r="S44" s="317"/>
      <c r="T44" s="317"/>
      <c r="U44" s="317"/>
      <c r="V44" s="317"/>
      <c r="W44" s="317"/>
      <c r="X44" s="317"/>
      <c r="Y44" s="317"/>
      <c r="Z44" s="317"/>
      <c r="AA44" s="317"/>
      <c r="AB44" s="317"/>
      <c r="AC44" s="317"/>
      <c r="AD44" s="317"/>
      <c r="AE44" s="317"/>
      <c r="AF44" s="317"/>
      <c r="AG44" s="317"/>
      <c r="AH44" s="317"/>
      <c r="AI44" s="317"/>
      <c r="AJ44" s="317"/>
      <c r="AK44" s="317"/>
      <c r="AL44" s="317"/>
      <c r="AM44" s="317"/>
      <c r="AN44" s="317"/>
      <c r="AO44" s="317"/>
      <c r="AP44" s="317"/>
      <c r="AQ44" s="317"/>
    </row>
    <row r="45" spans="2:14" ht="14.25" customHeight="1">
      <c r="B45" s="111" t="s">
        <v>267</v>
      </c>
      <c r="C45" s="327">
        <f>C4/C8</f>
        <v>0.4392121140181198</v>
      </c>
      <c r="D45" s="327">
        <f aca="true" t="shared" si="12" ref="D45:N45">D4/D8</f>
        <v>0.4479989277632912</v>
      </c>
      <c r="E45" s="327">
        <f t="shared" si="12"/>
        <v>0.44768516880124326</v>
      </c>
      <c r="F45" s="327">
        <f t="shared" si="12"/>
        <v>0.4473782200215541</v>
      </c>
      <c r="G45" s="392">
        <f t="shared" si="12"/>
        <v>0.4470785349155564</v>
      </c>
      <c r="H45" s="327">
        <f t="shared" si="12"/>
        <v>0.44678653585158046</v>
      </c>
      <c r="I45" s="327">
        <f t="shared" si="12"/>
        <v>0.44650261423629195</v>
      </c>
      <c r="J45" s="327">
        <f t="shared" si="12"/>
        <v>0.44622713076778125</v>
      </c>
      <c r="K45" s="327">
        <f t="shared" si="12"/>
        <v>0.4459604157764456</v>
      </c>
      <c r="L45" s="327">
        <f t="shared" si="12"/>
        <v>0.4457027696492851</v>
      </c>
      <c r="M45" s="327">
        <f t="shared" si="12"/>
        <v>0.44545446333284766</v>
      </c>
      <c r="N45" s="327">
        <f t="shared" si="12"/>
        <v>0.44521573890973126</v>
      </c>
    </row>
    <row r="46" spans="2:14" ht="14.25" customHeight="1">
      <c r="B46" s="111" t="s">
        <v>271</v>
      </c>
      <c r="C46" s="328">
        <f>C42-C41</f>
        <v>102985.37989662291</v>
      </c>
      <c r="D46" s="328">
        <f aca="true" t="shared" si="13" ref="D46:N46">D42-D41</f>
        <v>116838.81221171297</v>
      </c>
      <c r="E46" s="328">
        <f t="shared" si="13"/>
        <v>127115.74018097945</v>
      </c>
      <c r="F46" s="328">
        <f t="shared" si="13"/>
        <v>138069.54905691254</v>
      </c>
      <c r="G46" s="393">
        <f t="shared" si="13"/>
        <v>149743.92615836655</v>
      </c>
      <c r="H46" s="328">
        <f t="shared" si="13"/>
        <v>162185.4869327927</v>
      </c>
      <c r="I46" s="328">
        <f t="shared" si="13"/>
        <v>175443.9748765257</v>
      </c>
      <c r="J46" s="328">
        <f t="shared" si="13"/>
        <v>189572.47522907794</v>
      </c>
      <c r="K46" s="328">
        <f t="shared" si="13"/>
        <v>204627.6433948698</v>
      </c>
      <c r="L46" s="328">
        <f t="shared" si="13"/>
        <v>220669.9491119982</v>
      </c>
      <c r="M46" s="328">
        <f t="shared" si="13"/>
        <v>237763.9374584131</v>
      </c>
      <c r="N46" s="328">
        <f t="shared" si="13"/>
        <v>255978.50786155934</v>
      </c>
    </row>
  </sheetData>
  <sheetProtection/>
  <mergeCells count="4">
    <mergeCell ref="T2:AE2"/>
    <mergeCell ref="AF2:AQ2"/>
    <mergeCell ref="C2:G2"/>
    <mergeCell ref="H2:N2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selection activeCell="G24" sqref="G24"/>
    </sheetView>
  </sheetViews>
  <sheetFormatPr defaultColWidth="8.8515625" defaultRowHeight="12.75"/>
  <cols>
    <col min="1" max="1" width="47.8515625" style="347" customWidth="1"/>
    <col min="2" max="2" width="16.421875" style="0" customWidth="1"/>
    <col min="3" max="3" width="17.28125" style="0" customWidth="1"/>
    <col min="4" max="4" width="18.421875" style="0" customWidth="1"/>
  </cols>
  <sheetData>
    <row r="1" spans="1:5" ht="13.5">
      <c r="A1" s="383" t="s">
        <v>239</v>
      </c>
      <c r="B1" s="383"/>
      <c r="C1" s="383"/>
      <c r="D1" s="276"/>
      <c r="E1" s="276"/>
    </row>
    <row r="3" spans="1:4" ht="13.5">
      <c r="A3" s="339" t="s">
        <v>209</v>
      </c>
      <c r="B3" s="335" t="s">
        <v>210</v>
      </c>
      <c r="C3" s="335" t="s">
        <v>211</v>
      </c>
      <c r="D3" s="335" t="s">
        <v>212</v>
      </c>
    </row>
    <row r="4" spans="1:4" ht="13.5">
      <c r="A4" s="381" t="s">
        <v>213</v>
      </c>
      <c r="B4" s="381"/>
      <c r="C4" s="381"/>
      <c r="D4" s="336">
        <v>600000</v>
      </c>
    </row>
    <row r="5" spans="1:4" ht="13.5">
      <c r="A5" s="340" t="s">
        <v>214</v>
      </c>
      <c r="B5" s="277"/>
      <c r="C5" s="277"/>
      <c r="D5" s="337">
        <v>600000</v>
      </c>
    </row>
    <row r="6" spans="1:4" ht="13.5">
      <c r="A6" s="380" t="s">
        <v>293</v>
      </c>
      <c r="B6" s="380"/>
      <c r="C6" s="380"/>
      <c r="D6" s="278" t="s">
        <v>215</v>
      </c>
    </row>
    <row r="7" spans="1:4" ht="13.5">
      <c r="A7" s="382" t="s">
        <v>216</v>
      </c>
      <c r="B7" s="382"/>
      <c r="C7" s="382"/>
      <c r="D7" s="334">
        <f>SUM(D8:D14)</f>
        <v>28250</v>
      </c>
    </row>
    <row r="8" spans="1:4" ht="13.5">
      <c r="A8" s="341" t="s">
        <v>305</v>
      </c>
      <c r="B8" s="279">
        <v>1</v>
      </c>
      <c r="C8" s="280">
        <v>1500</v>
      </c>
      <c r="D8" s="330">
        <v>1500</v>
      </c>
    </row>
    <row r="9" spans="1:4" ht="13.5">
      <c r="A9" s="342" t="s">
        <v>217</v>
      </c>
      <c r="B9" s="279">
        <v>1</v>
      </c>
      <c r="C9" s="281">
        <v>150</v>
      </c>
      <c r="D9" s="330">
        <v>150</v>
      </c>
    </row>
    <row r="10" spans="1:4" ht="27.75">
      <c r="A10" s="341" t="s">
        <v>294</v>
      </c>
      <c r="B10" s="279">
        <v>1</v>
      </c>
      <c r="C10" s="280">
        <v>3000</v>
      </c>
      <c r="D10" s="330">
        <v>3000</v>
      </c>
    </row>
    <row r="11" spans="1:5" ht="13.5">
      <c r="A11" s="341" t="s">
        <v>218</v>
      </c>
      <c r="B11" s="279">
        <v>1</v>
      </c>
      <c r="C11" s="280">
        <v>1600</v>
      </c>
      <c r="D11" s="330">
        <v>1600</v>
      </c>
      <c r="E11" t="s">
        <v>308</v>
      </c>
    </row>
    <row r="12" spans="1:4" ht="13.5">
      <c r="A12" s="341" t="s">
        <v>312</v>
      </c>
      <c r="B12" s="279">
        <v>1</v>
      </c>
      <c r="C12" s="280">
        <v>20000</v>
      </c>
      <c r="D12" s="330">
        <v>20000</v>
      </c>
    </row>
    <row r="13" spans="1:4" ht="13.5">
      <c r="A13" s="341" t="s">
        <v>219</v>
      </c>
      <c r="B13" s="279">
        <v>1</v>
      </c>
      <c r="C13" s="280">
        <v>500</v>
      </c>
      <c r="D13" s="330">
        <v>500</v>
      </c>
    </row>
    <row r="14" spans="1:4" ht="13.5">
      <c r="A14" s="341" t="s">
        <v>295</v>
      </c>
      <c r="B14" s="279">
        <v>1</v>
      </c>
      <c r="C14" s="280">
        <v>8700</v>
      </c>
      <c r="D14" s="280">
        <v>1500</v>
      </c>
    </row>
    <row r="15" spans="1:4" ht="13.5">
      <c r="A15" s="381" t="s">
        <v>306</v>
      </c>
      <c r="B15" s="381"/>
      <c r="C15" s="381"/>
      <c r="D15" s="333">
        <f>SUM(D16:D19)</f>
        <v>64500</v>
      </c>
    </row>
    <row r="16" spans="1:4" ht="13.5">
      <c r="A16" s="338" t="s">
        <v>304</v>
      </c>
      <c r="B16" s="284">
        <v>1</v>
      </c>
      <c r="C16" s="284">
        <v>12000</v>
      </c>
      <c r="D16" s="284">
        <v>12000</v>
      </c>
    </row>
    <row r="17" spans="1:4" ht="13.5">
      <c r="A17" s="338" t="s">
        <v>311</v>
      </c>
      <c r="B17" s="284">
        <v>1</v>
      </c>
      <c r="C17" s="284">
        <v>15000</v>
      </c>
      <c r="D17" s="284">
        <v>15000</v>
      </c>
    </row>
    <row r="18" spans="1:4" ht="13.5">
      <c r="A18" s="338" t="s">
        <v>220</v>
      </c>
      <c r="B18" s="284">
        <v>1</v>
      </c>
      <c r="C18" s="284">
        <v>2500</v>
      </c>
      <c r="D18" s="284">
        <v>2500</v>
      </c>
    </row>
    <row r="19" spans="1:4" ht="13.5">
      <c r="A19" s="338" t="s">
        <v>307</v>
      </c>
      <c r="B19" s="284">
        <v>1</v>
      </c>
      <c r="C19" s="284">
        <v>35000</v>
      </c>
      <c r="D19" s="284">
        <v>35000</v>
      </c>
    </row>
    <row r="20" spans="1:4" ht="13.5">
      <c r="A20" s="381" t="s">
        <v>221</v>
      </c>
      <c r="B20" s="381"/>
      <c r="C20" s="381"/>
      <c r="D20" s="333">
        <f>SUM(D21:D25)</f>
        <v>4100</v>
      </c>
    </row>
    <row r="21" spans="1:4" ht="13.5">
      <c r="A21" s="338" t="s">
        <v>309</v>
      </c>
      <c r="B21" s="284">
        <v>1</v>
      </c>
      <c r="C21" s="284">
        <v>500</v>
      </c>
      <c r="D21" s="284">
        <v>500</v>
      </c>
    </row>
    <row r="22" spans="1:4" ht="13.5">
      <c r="A22" s="338" t="s">
        <v>222</v>
      </c>
      <c r="B22" s="284">
        <v>1</v>
      </c>
      <c r="C22" s="284">
        <v>1000</v>
      </c>
      <c r="D22" s="284">
        <v>1000</v>
      </c>
    </row>
    <row r="23" spans="1:4" s="263" customFormat="1" ht="13.5">
      <c r="A23" s="338" t="s">
        <v>223</v>
      </c>
      <c r="B23" s="284">
        <v>1</v>
      </c>
      <c r="C23" s="284">
        <v>500</v>
      </c>
      <c r="D23" s="284">
        <v>500</v>
      </c>
    </row>
    <row r="24" spans="1:4" s="263" customFormat="1" ht="13.5">
      <c r="A24" s="338" t="s">
        <v>224</v>
      </c>
      <c r="B24" s="284">
        <v>1</v>
      </c>
      <c r="C24" s="284">
        <v>2000</v>
      </c>
      <c r="D24" s="284">
        <v>2000</v>
      </c>
    </row>
    <row r="25" spans="1:4" s="263" customFormat="1" ht="13.5">
      <c r="A25" s="338" t="s">
        <v>225</v>
      </c>
      <c r="B25" s="284">
        <v>1</v>
      </c>
      <c r="C25" s="284">
        <v>100</v>
      </c>
      <c r="D25" s="284">
        <v>100</v>
      </c>
    </row>
    <row r="26" spans="1:4" s="263" customFormat="1" ht="13.5">
      <c r="A26" s="381" t="s">
        <v>226</v>
      </c>
      <c r="B26" s="381"/>
      <c r="C26" s="381"/>
      <c r="D26" s="333">
        <f>D27+D28</f>
        <v>10750</v>
      </c>
    </row>
    <row r="27" spans="1:4" s="263" customFormat="1" ht="13.5">
      <c r="A27" s="343" t="s">
        <v>296</v>
      </c>
      <c r="B27" s="283">
        <v>100</v>
      </c>
      <c r="C27" s="283">
        <v>10</v>
      </c>
      <c r="D27" s="283">
        <v>1000</v>
      </c>
    </row>
    <row r="28" spans="1:4" s="263" customFormat="1" ht="13.5">
      <c r="A28" s="343" t="s">
        <v>297</v>
      </c>
      <c r="B28" s="283">
        <v>150</v>
      </c>
      <c r="C28" s="283">
        <v>65</v>
      </c>
      <c r="D28" s="283">
        <f>B28*C28</f>
        <v>9750</v>
      </c>
    </row>
    <row r="29" spans="1:4" s="263" customFormat="1" ht="13.5">
      <c r="A29" s="381" t="s">
        <v>227</v>
      </c>
      <c r="B29" s="381"/>
      <c r="C29" s="381"/>
      <c r="D29" s="333">
        <f>SUM(D30:D37)</f>
        <v>56050</v>
      </c>
    </row>
    <row r="30" spans="1:5" s="263" customFormat="1" ht="13.5">
      <c r="A30" s="343" t="s">
        <v>228</v>
      </c>
      <c r="B30" s="283">
        <v>1</v>
      </c>
      <c r="C30" s="283">
        <v>5000</v>
      </c>
      <c r="D30" s="283">
        <f>B30*C30</f>
        <v>5000</v>
      </c>
      <c r="E30" s="263" t="s">
        <v>303</v>
      </c>
    </row>
    <row r="31" spans="1:4" s="263" customFormat="1" ht="13.5">
      <c r="A31" s="343" t="s">
        <v>229</v>
      </c>
      <c r="B31" s="283">
        <v>30</v>
      </c>
      <c r="C31" s="283">
        <v>35</v>
      </c>
      <c r="D31" s="283">
        <f aca="true" t="shared" si="0" ref="D31:D36">B31*C31</f>
        <v>1050</v>
      </c>
    </row>
    <row r="32" spans="1:4" s="263" customFormat="1" ht="13.5">
      <c r="A32" s="343" t="s">
        <v>230</v>
      </c>
      <c r="B32" s="283">
        <v>10</v>
      </c>
      <c r="C32" s="283">
        <v>300</v>
      </c>
      <c r="D32" s="283">
        <f t="shared" si="0"/>
        <v>3000</v>
      </c>
    </row>
    <row r="33" spans="1:4" ht="13.5">
      <c r="A33" s="343" t="s">
        <v>300</v>
      </c>
      <c r="B33" s="283">
        <v>1</v>
      </c>
      <c r="C33" s="283">
        <v>15000</v>
      </c>
      <c r="D33" s="283">
        <f t="shared" si="0"/>
        <v>15000</v>
      </c>
    </row>
    <row r="34" spans="1:4" ht="13.5">
      <c r="A34" s="343" t="s">
        <v>301</v>
      </c>
      <c r="B34" s="283">
        <v>1000</v>
      </c>
      <c r="C34" s="283">
        <v>1.5</v>
      </c>
      <c r="D34" s="283">
        <f t="shared" si="0"/>
        <v>1500</v>
      </c>
    </row>
    <row r="35" spans="1:4" ht="13.5">
      <c r="A35" s="343" t="s">
        <v>302</v>
      </c>
      <c r="B35" s="283">
        <v>1000</v>
      </c>
      <c r="C35" s="283">
        <v>3</v>
      </c>
      <c r="D35" s="283">
        <f t="shared" si="0"/>
        <v>3000</v>
      </c>
    </row>
    <row r="36" spans="1:4" ht="13.5">
      <c r="A36" s="343" t="s">
        <v>298</v>
      </c>
      <c r="B36" s="283">
        <v>1</v>
      </c>
      <c r="C36" s="283">
        <v>2500</v>
      </c>
      <c r="D36" s="283">
        <f t="shared" si="0"/>
        <v>2500</v>
      </c>
    </row>
    <row r="37" spans="1:4" ht="13.5">
      <c r="A37" s="343" t="s">
        <v>299</v>
      </c>
      <c r="B37" s="283">
        <v>1</v>
      </c>
      <c r="C37" s="283">
        <v>30000</v>
      </c>
      <c r="D37" s="283">
        <v>25000</v>
      </c>
    </row>
    <row r="38" spans="1:4" ht="13.5">
      <c r="A38" s="381" t="s">
        <v>231</v>
      </c>
      <c r="B38" s="381"/>
      <c r="C38" s="381"/>
      <c r="D38" s="333">
        <f>SUM(D39:D44)</f>
        <v>29500</v>
      </c>
    </row>
    <row r="39" spans="1:4" ht="13.5">
      <c r="A39" s="343" t="s">
        <v>232</v>
      </c>
      <c r="B39" s="283">
        <v>50</v>
      </c>
      <c r="C39" s="283">
        <v>60</v>
      </c>
      <c r="D39" s="283">
        <v>3000</v>
      </c>
    </row>
    <row r="40" spans="1:4" ht="13.5">
      <c r="A40" s="343" t="s">
        <v>233</v>
      </c>
      <c r="B40" s="283">
        <v>1</v>
      </c>
      <c r="C40" s="283">
        <v>3000</v>
      </c>
      <c r="D40" s="283">
        <v>3000</v>
      </c>
    </row>
    <row r="41" spans="1:4" ht="13.5">
      <c r="A41" s="338" t="s">
        <v>234</v>
      </c>
      <c r="B41" s="284">
        <v>1</v>
      </c>
      <c r="C41" s="284">
        <v>500</v>
      </c>
      <c r="D41" s="284">
        <f>B41*C41</f>
        <v>500</v>
      </c>
    </row>
    <row r="42" spans="1:4" ht="13.5">
      <c r="A42" s="343" t="s">
        <v>235</v>
      </c>
      <c r="B42" s="283">
        <v>1</v>
      </c>
      <c r="C42" s="283">
        <v>5000</v>
      </c>
      <c r="D42" s="283">
        <v>2000</v>
      </c>
    </row>
    <row r="43" spans="1:4" ht="42">
      <c r="A43" s="344" t="s">
        <v>310</v>
      </c>
      <c r="B43" s="283">
        <v>1</v>
      </c>
      <c r="C43" s="283">
        <v>20000</v>
      </c>
      <c r="D43" s="283">
        <v>20000</v>
      </c>
    </row>
    <row r="44" spans="1:4" ht="13.5">
      <c r="A44" s="343" t="s">
        <v>236</v>
      </c>
      <c r="B44" s="283">
        <v>2</v>
      </c>
      <c r="C44" s="283">
        <v>1000</v>
      </c>
      <c r="D44" s="283">
        <v>1000</v>
      </c>
    </row>
    <row r="45" spans="1:4" ht="13.5">
      <c r="A45" s="345" t="s">
        <v>237</v>
      </c>
      <c r="B45" s="331"/>
      <c r="C45" s="331"/>
      <c r="D45" s="282"/>
    </row>
    <row r="46" spans="1:4" ht="13.5">
      <c r="A46" s="346" t="s">
        <v>238</v>
      </c>
      <c r="B46" s="285"/>
      <c r="C46" s="285"/>
      <c r="D46" s="332">
        <f>D38+D29+D26+D20+D15+D7+D4</f>
        <v>793150</v>
      </c>
    </row>
    <row r="47" spans="1:4" ht="13.5">
      <c r="A47" s="346" t="s">
        <v>265</v>
      </c>
      <c r="B47" s="285"/>
      <c r="C47" s="285"/>
      <c r="D47" s="332">
        <f>'Финансовая модель'!C20</f>
        <v>20000</v>
      </c>
    </row>
    <row r="48" spans="1:4" ht="13.5">
      <c r="A48" s="346" t="s">
        <v>240</v>
      </c>
      <c r="B48" s="285"/>
      <c r="C48" s="285"/>
      <c r="D48" s="332">
        <v>199000</v>
      </c>
    </row>
    <row r="49" spans="1:4" ht="12">
      <c r="A49" s="384"/>
      <c r="B49" s="384"/>
      <c r="C49" s="384"/>
      <c r="D49" s="384"/>
    </row>
    <row r="50" spans="1:4" ht="12">
      <c r="A50" s="374" t="s">
        <v>238</v>
      </c>
      <c r="B50" s="375"/>
      <c r="C50" s="375"/>
      <c r="D50" s="378">
        <f>D48+D47+D46</f>
        <v>1012150</v>
      </c>
    </row>
    <row r="51" spans="1:4" ht="45" customHeight="1" thickBot="1">
      <c r="A51" s="376"/>
      <c r="B51" s="377"/>
      <c r="C51" s="377"/>
      <c r="D51" s="379"/>
    </row>
  </sheetData>
  <sheetProtection/>
  <mergeCells count="12">
    <mergeCell ref="A4:C4"/>
    <mergeCell ref="A7:C7"/>
    <mergeCell ref="A1:C1"/>
    <mergeCell ref="A29:C29"/>
    <mergeCell ref="A38:C38"/>
    <mergeCell ref="A49:D49"/>
    <mergeCell ref="A50:C51"/>
    <mergeCell ref="D50:D51"/>
    <mergeCell ref="A6:C6"/>
    <mergeCell ref="A26:C26"/>
    <mergeCell ref="A15:C15"/>
    <mergeCell ref="A20:C2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0" sqref="I20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2" sqref="M22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Leonid</dc:creator>
  <cp:keywords/>
  <dc:description/>
  <cp:lastModifiedBy>MacBookAir</cp:lastModifiedBy>
  <dcterms:created xsi:type="dcterms:W3CDTF">2015-08-19T19:27:38Z</dcterms:created>
  <dcterms:modified xsi:type="dcterms:W3CDTF">2017-05-02T09:10:15Z</dcterms:modified>
  <cp:category/>
  <cp:version/>
  <cp:contentType/>
  <cp:contentStatus/>
</cp:coreProperties>
</file>