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0" windowWidth="19440" windowHeight="11760" activeTab="1"/>
  </bookViews>
  <sheets>
    <sheet name="Исходные данные" sheetId="1" r:id="rId1"/>
    <sheet name="Обобщенный расчет" sheetId="6" r:id="rId2"/>
    <sheet name="Детальный расчет" sheetId="4" r:id="rId3"/>
  </sheets>
  <externalReferences>
    <externalReference r:id="rId4"/>
    <externalReference r:id="rId5"/>
    <externalReference r:id="rId6"/>
    <externalReference r:id="rId7"/>
  </externalReferences>
  <definedNames>
    <definedName name="About_AI" localSheetId="1">#REF!</definedName>
    <definedName name="About_AI">#REF!</definedName>
    <definedName name="About_AI_Summ" localSheetId="1">#REF!</definedName>
    <definedName name="About_AI_Summ">#REF!</definedName>
    <definedName name="AI_Version">[1]Опции!$B$5</definedName>
    <definedName name="CalcMethod">[1]Проект!$F$88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EST_DATA" localSheetId="1">[1]Проект!#REF!</definedName>
    <definedName name="EST_DATA">[1]Проект!#REF!</definedName>
    <definedName name="EST_FROM" localSheetId="1">[1]Проект!#REF!</definedName>
    <definedName name="EST_FROM">[1]Проект!#REF!</definedName>
    <definedName name="EST_NumStages" localSheetId="1">[1]Проект!#REF!</definedName>
    <definedName name="EST_NumStages">[1]Проект!#REF!</definedName>
    <definedName name="EST_Obj_1" localSheetId="1">[1]Проект!#REF!</definedName>
    <definedName name="EST_Obj_1">[1]Проект!#REF!</definedName>
    <definedName name="EST_Obj_10" localSheetId="1">[1]Проект!#REF!</definedName>
    <definedName name="EST_Obj_10">[1]Проект!#REF!</definedName>
    <definedName name="EST_Obj_2" localSheetId="1">[1]Проект!#REF!</definedName>
    <definedName name="EST_Obj_2">[1]Проект!#REF!</definedName>
    <definedName name="EST_Obj_3" localSheetId="1">[1]Проект!#REF!</definedName>
    <definedName name="EST_Obj_3">[1]Проект!#REF!</definedName>
    <definedName name="EST_Obj_4" localSheetId="1">[1]Проект!#REF!</definedName>
    <definedName name="EST_Obj_4">[1]Проект!#REF!</definedName>
    <definedName name="EST_Obj_5" localSheetId="1">[1]Проект!#REF!</definedName>
    <definedName name="EST_Obj_5">[1]Проект!#REF!</definedName>
    <definedName name="EST_Obj_6" localSheetId="1">[1]Проект!#REF!</definedName>
    <definedName name="EST_Obj_6">[1]Проект!#REF!</definedName>
    <definedName name="EST_Obj_7" localSheetId="1">[1]Проект!#REF!</definedName>
    <definedName name="EST_Obj_7">[1]Проект!#REF!</definedName>
    <definedName name="EST_Obj_8" localSheetId="1">[1]Проект!#REF!</definedName>
    <definedName name="EST_Obj_8">[1]Проект!#REF!</definedName>
    <definedName name="EST_Obj_9" localSheetId="1">[1]Проект!#REF!</definedName>
    <definedName name="EST_Obj_9">[1]Проект!#REF!</definedName>
    <definedName name="EST_ProdNum" localSheetId="1">[1]Проект!#REF!</definedName>
    <definedName name="EST_ProdNum">[1]Проект!#REF!</definedName>
    <definedName name="IS_SUMM">[1]Опции!$B$10</definedName>
    <definedName name="LANGUAGE">[1]Проект!$D$17</definedName>
    <definedName name="NWC_T_Cr_AdvK">[1]Проект!$B$772</definedName>
    <definedName name="NWC_T_Cr_AdvT">[1]Проект!$C$772</definedName>
    <definedName name="NWC_T_Cr_CrdK">[1]Проект!$B$773</definedName>
    <definedName name="NWC_T_Cr_CrdT">[1]Проект!$C$773</definedName>
    <definedName name="NWC_T_Cycle">[1]Проект!$B$751</definedName>
    <definedName name="NWC_T_Db_AdvK">[1]Проект!$B$760</definedName>
    <definedName name="NWC_T_Db_AdvT">[1]Проект!$C$760</definedName>
    <definedName name="NWC_T_Db_CrdK">[1]Проект!$B$761</definedName>
    <definedName name="NWC_T_Db_CrdT">[1]Проект!$C$761</definedName>
    <definedName name="NWC_T_Goods">[1]Проект!$B$755</definedName>
    <definedName name="NWC_T_Mat">[1]Проект!$B$749</definedName>
    <definedName name="PeriodTitle">[1]Проект!$F$86:$L$86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[1]Проект!$B$945</definedName>
    <definedName name="ProfitTax_Period">[1]Проект!$B$946</definedName>
    <definedName name="season" localSheetId="1">'[2]1. Исходные данные'!#REF!</definedName>
    <definedName name="season">'[2]1. Исходные данные'!#REF!</definedName>
    <definedName name="SENS_Parameter">[1]Анализ!$E$9</definedName>
    <definedName name="ShowRealDates">[1]Проект!$D$20</definedName>
    <definedName name="VAT">[1]Проект!$B$889</definedName>
    <definedName name="VAT_OnAssets">[1]Проект!$B$892</definedName>
    <definedName name="VAT_Period">[1]Проект!$B$890</definedName>
    <definedName name="VAT_Repay">[1]Проект!$B$891</definedName>
    <definedName name="апи" localSheetId="1">[3]Отчет!#REF!</definedName>
    <definedName name="апи">[3]Отчет!#REF!</definedName>
    <definedName name="_xlnm.Print_Titles" localSheetId="2">'Детальный расчет'!$A:$B</definedName>
    <definedName name="и" localSheetId="1">[3]Отчет!#REF!</definedName>
    <definedName name="и">[3]Отчет!#REF!</definedName>
    <definedName name="_xlnm.Print_Area" localSheetId="2">'Детальный расчет'!$A$5:$AT$130</definedName>
    <definedName name="_xlnm.Print_Area" localSheetId="0">'Исходные данные'!$A$1:$K$89</definedName>
    <definedName name="_xlnm.Print_Area" localSheetId="1">'Обобщенный расчет'!$A$1:$J$91</definedName>
    <definedName name="п" localSheetId="1">[3]Отчет!#REF!</definedName>
    <definedName name="п">[3]Отчет!#REF!</definedName>
  </definedNames>
  <calcPr calcId="125725"/>
</workbook>
</file>

<file path=xl/calcChain.xml><?xml version="1.0" encoding="utf-8"?>
<calcChain xmlns="http://schemas.openxmlformats.org/spreadsheetml/2006/main">
  <c r="C67" i="4"/>
  <c r="C66"/>
  <c r="C63"/>
  <c r="C62"/>
  <c r="C61"/>
  <c r="B139"/>
  <c r="Y139" s="1"/>
  <c r="B136"/>
  <c r="N138" s="1"/>
  <c r="G138" l="1"/>
  <c r="J138"/>
  <c r="J139" s="1"/>
  <c r="J140" s="1"/>
  <c r="D138"/>
  <c r="D139" s="1"/>
  <c r="D140" s="1"/>
  <c r="P140" s="1"/>
  <c r="M138"/>
  <c r="F138"/>
  <c r="F139" s="1"/>
  <c r="F140" s="1"/>
  <c r="I138"/>
  <c r="I139" s="1"/>
  <c r="I140" s="1"/>
  <c r="L138"/>
  <c r="L139" s="1"/>
  <c r="L140" s="1"/>
  <c r="O138"/>
  <c r="O139" s="1"/>
  <c r="O140" s="1"/>
  <c r="N139"/>
  <c r="N140" s="1"/>
  <c r="R139"/>
  <c r="U139"/>
  <c r="X139"/>
  <c r="AA139"/>
  <c r="E138"/>
  <c r="E139" s="1"/>
  <c r="E140" s="1"/>
  <c r="H138"/>
  <c r="H139" s="1"/>
  <c r="H140" s="1"/>
  <c r="K138"/>
  <c r="K139" s="1"/>
  <c r="K140" s="1"/>
  <c r="G139"/>
  <c r="G140" s="1"/>
  <c r="M139"/>
  <c r="M140" s="1"/>
  <c r="Q139"/>
  <c r="T139"/>
  <c r="W139"/>
  <c r="Z139"/>
  <c r="S139"/>
  <c r="V139"/>
  <c r="X140" l="1"/>
  <c r="W140"/>
  <c r="AA140"/>
  <c r="R140"/>
  <c r="V140"/>
  <c r="T140"/>
  <c r="U140"/>
  <c r="Y140"/>
  <c r="B138"/>
  <c r="S140"/>
  <c r="Z140"/>
  <c r="Q140"/>
  <c r="D35" i="1" l="1"/>
  <c r="D34"/>
  <c r="I5"/>
  <c r="D10" i="6"/>
  <c r="J10" s="1"/>
  <c r="D11"/>
  <c r="D12"/>
  <c r="D13"/>
  <c r="D14"/>
  <c r="D15"/>
  <c r="D16"/>
  <c r="G9"/>
  <c r="G11"/>
  <c r="D9" l="1"/>
  <c r="H81" l="1"/>
  <c r="X92" i="4" s="1"/>
  <c r="H80" i="6"/>
  <c r="D91" i="4" s="1"/>
  <c r="R91" l="1"/>
  <c r="AF92"/>
  <c r="J92"/>
  <c r="AF91"/>
  <c r="R92"/>
  <c r="AL92"/>
  <c r="D92"/>
  <c r="A95" l="1"/>
  <c r="A94"/>
  <c r="A93"/>
  <c r="A90"/>
  <c r="A88"/>
  <c r="A87"/>
  <c r="A86"/>
  <c r="A85"/>
  <c r="A84"/>
  <c r="A83"/>
  <c r="A82"/>
  <c r="A81"/>
  <c r="A80"/>
  <c r="A79"/>
  <c r="A78"/>
  <c r="A77"/>
  <c r="A76"/>
  <c r="E69"/>
  <c r="A68"/>
  <c r="A67"/>
  <c r="A66"/>
  <c r="A65"/>
  <c r="A64"/>
  <c r="A63"/>
  <c r="A62"/>
  <c r="A30"/>
  <c r="A29"/>
  <c r="A28"/>
  <c r="A27"/>
  <c r="A26"/>
  <c r="A15"/>
  <c r="A16"/>
  <c r="A17"/>
  <c r="A18"/>
  <c r="A19"/>
  <c r="A20"/>
  <c r="A21"/>
  <c r="A22"/>
  <c r="AD92" l="1"/>
  <c r="AE92" s="1"/>
  <c r="AR92"/>
  <c r="AS92" s="1"/>
  <c r="AD91"/>
  <c r="AE91" s="1"/>
  <c r="AR91"/>
  <c r="AS91" s="1"/>
  <c r="G25" i="6"/>
  <c r="G26"/>
  <c r="G24"/>
  <c r="G23"/>
  <c r="G22"/>
  <c r="F27"/>
  <c r="D25"/>
  <c r="J25" s="1"/>
  <c r="D26"/>
  <c r="J26" s="1"/>
  <c r="D24"/>
  <c r="J24" s="1"/>
  <c r="D23"/>
  <c r="J23" s="1"/>
  <c r="D22"/>
  <c r="H65"/>
  <c r="H64"/>
  <c r="H63"/>
  <c r="H56"/>
  <c r="H82"/>
  <c r="H78"/>
  <c r="H73"/>
  <c r="G12"/>
  <c r="G13"/>
  <c r="G14"/>
  <c r="G15"/>
  <c r="G16"/>
  <c r="G17"/>
  <c r="D17"/>
  <c r="D18" s="1"/>
  <c r="AO77" i="4" l="1"/>
  <c r="AK77"/>
  <c r="AG77"/>
  <c r="AN77"/>
  <c r="AJ77"/>
  <c r="AF77"/>
  <c r="AQ77"/>
  <c r="AM77"/>
  <c r="AI77"/>
  <c r="AA77"/>
  <c r="W77"/>
  <c r="S77"/>
  <c r="F77"/>
  <c r="J77"/>
  <c r="N77"/>
  <c r="AP77"/>
  <c r="Z77"/>
  <c r="V77"/>
  <c r="R77"/>
  <c r="AL77"/>
  <c r="AC77"/>
  <c r="Y77"/>
  <c r="U77"/>
  <c r="H77"/>
  <c r="L77"/>
  <c r="T77"/>
  <c r="K77"/>
  <c r="D77"/>
  <c r="E77"/>
  <c r="M77"/>
  <c r="AH77"/>
  <c r="AB77"/>
  <c r="G77"/>
  <c r="O77"/>
  <c r="X77"/>
  <c r="I77"/>
  <c r="D89"/>
  <c r="AF89"/>
  <c r="AR89" s="1"/>
  <c r="AS89" s="1"/>
  <c r="R89"/>
  <c r="AD89" s="1"/>
  <c r="AE89" s="1"/>
  <c r="AO78"/>
  <c r="AK78"/>
  <c r="AG78"/>
  <c r="AN78"/>
  <c r="AJ78"/>
  <c r="AF78"/>
  <c r="AQ78"/>
  <c r="AM78"/>
  <c r="AI78"/>
  <c r="AH78"/>
  <c r="AA78"/>
  <c r="W78"/>
  <c r="S78"/>
  <c r="G78"/>
  <c r="K78"/>
  <c r="O78"/>
  <c r="Z78"/>
  <c r="V78"/>
  <c r="R78"/>
  <c r="AP78"/>
  <c r="AC78"/>
  <c r="Y78"/>
  <c r="U78"/>
  <c r="E78"/>
  <c r="I78"/>
  <c r="M78"/>
  <c r="X78"/>
  <c r="H78"/>
  <c r="AL78"/>
  <c r="T78"/>
  <c r="J78"/>
  <c r="L78"/>
  <c r="AB78"/>
  <c r="D78"/>
  <c r="F78"/>
  <c r="N78"/>
  <c r="AN93"/>
  <c r="AJ93"/>
  <c r="AF93"/>
  <c r="AA93"/>
  <c r="W93"/>
  <c r="S93"/>
  <c r="AQ93"/>
  <c r="AM93"/>
  <c r="AI93"/>
  <c r="Z93"/>
  <c r="V93"/>
  <c r="R93"/>
  <c r="AP93"/>
  <c r="AL93"/>
  <c r="AH93"/>
  <c r="AC93"/>
  <c r="Y93"/>
  <c r="U93"/>
  <c r="AG93"/>
  <c r="T93"/>
  <c r="AO93"/>
  <c r="AB93"/>
  <c r="AK93"/>
  <c r="G93"/>
  <c r="K93"/>
  <c r="O93"/>
  <c r="D93"/>
  <c r="H93"/>
  <c r="L93"/>
  <c r="E93"/>
  <c r="I93"/>
  <c r="M93"/>
  <c r="F93"/>
  <c r="X93"/>
  <c r="J93"/>
  <c r="N93"/>
  <c r="AO79"/>
  <c r="AK79"/>
  <c r="AG79"/>
  <c r="AN79"/>
  <c r="AJ79"/>
  <c r="AF79"/>
  <c r="AQ79"/>
  <c r="AM79"/>
  <c r="AI79"/>
  <c r="AL79"/>
  <c r="AA79"/>
  <c r="W79"/>
  <c r="S79"/>
  <c r="H79"/>
  <c r="L79"/>
  <c r="AH79"/>
  <c r="Z79"/>
  <c r="V79"/>
  <c r="R79"/>
  <c r="AC79"/>
  <c r="Y79"/>
  <c r="U79"/>
  <c r="F79"/>
  <c r="J79"/>
  <c r="N79"/>
  <c r="AP79"/>
  <c r="AB79"/>
  <c r="E79"/>
  <c r="M79"/>
  <c r="X79"/>
  <c r="G79"/>
  <c r="O79"/>
  <c r="T79"/>
  <c r="I79"/>
  <c r="D79"/>
  <c r="K79"/>
  <c r="AO84"/>
  <c r="AK84"/>
  <c r="AG84"/>
  <c r="AN84"/>
  <c r="AJ84"/>
  <c r="AF84"/>
  <c r="AQ84"/>
  <c r="AM84"/>
  <c r="AI84"/>
  <c r="AP84"/>
  <c r="AA84"/>
  <c r="W84"/>
  <c r="S84"/>
  <c r="AL84"/>
  <c r="Z84"/>
  <c r="V84"/>
  <c r="R84"/>
  <c r="AH84"/>
  <c r="AC84"/>
  <c r="Y84"/>
  <c r="U84"/>
  <c r="E84"/>
  <c r="I84"/>
  <c r="M84"/>
  <c r="AB84"/>
  <c r="F84"/>
  <c r="J84"/>
  <c r="N84"/>
  <c r="X84"/>
  <c r="G84"/>
  <c r="K84"/>
  <c r="O84"/>
  <c r="D84"/>
  <c r="T84"/>
  <c r="H84"/>
  <c r="L84"/>
  <c r="AO73"/>
  <c r="AK73"/>
  <c r="AG73"/>
  <c r="AN73"/>
  <c r="AJ73"/>
  <c r="AF73"/>
  <c r="AQ73"/>
  <c r="AM73"/>
  <c r="AI73"/>
  <c r="AA73"/>
  <c r="W73"/>
  <c r="S73"/>
  <c r="F73"/>
  <c r="J73"/>
  <c r="N73"/>
  <c r="AP73"/>
  <c r="Z73"/>
  <c r="V73"/>
  <c r="R73"/>
  <c r="G73"/>
  <c r="K73"/>
  <c r="O73"/>
  <c r="AL73"/>
  <c r="AC73"/>
  <c r="Y73"/>
  <c r="U73"/>
  <c r="H73"/>
  <c r="L73"/>
  <c r="T73"/>
  <c r="AH73"/>
  <c r="E73"/>
  <c r="AB73"/>
  <c r="I73"/>
  <c r="X73"/>
  <c r="M73"/>
  <c r="D27" i="6"/>
  <c r="J22"/>
  <c r="J27" s="1"/>
  <c r="AR77" i="4" l="1"/>
  <c r="AS77" s="1"/>
  <c r="AR73"/>
  <c r="AR79"/>
  <c r="AS79" s="1"/>
  <c r="AD78"/>
  <c r="AE78" s="1"/>
  <c r="AR84"/>
  <c r="AS84" s="1"/>
  <c r="AR78"/>
  <c r="AS78" s="1"/>
  <c r="AD84"/>
  <c r="AE84" s="1"/>
  <c r="AD93"/>
  <c r="AE93" s="1"/>
  <c r="AD73"/>
  <c r="AD79"/>
  <c r="AE79" s="1"/>
  <c r="AR93"/>
  <c r="AS93" s="1"/>
  <c r="AD77"/>
  <c r="AE77" s="1"/>
  <c r="D59" i="1"/>
  <c r="D69"/>
  <c r="D73" s="1"/>
  <c r="H62" i="6" l="1"/>
  <c r="H58"/>
  <c r="H60"/>
  <c r="AE73" i="4"/>
  <c r="AS73"/>
  <c r="F62" i="6"/>
  <c r="F58"/>
  <c r="F60"/>
  <c r="G75" i="4" l="1"/>
  <c r="O75"/>
  <c r="AG75"/>
  <c r="AF75"/>
  <c r="AI75"/>
  <c r="W75"/>
  <c r="L75"/>
  <c r="V75"/>
  <c r="AC75"/>
  <c r="F75"/>
  <c r="D75"/>
  <c r="T75"/>
  <c r="K75"/>
  <c r="AB75"/>
  <c r="AK75"/>
  <c r="AJ75"/>
  <c r="AM75"/>
  <c r="AA75"/>
  <c r="H75"/>
  <c r="Z75"/>
  <c r="E75"/>
  <c r="U75"/>
  <c r="N75"/>
  <c r="M75"/>
  <c r="I75"/>
  <c r="AP75"/>
  <c r="AO75"/>
  <c r="AN75"/>
  <c r="AQ75"/>
  <c r="AL75"/>
  <c r="S75"/>
  <c r="AH75"/>
  <c r="R75"/>
  <c r="Y75"/>
  <c r="J75"/>
  <c r="X75"/>
  <c r="X76"/>
  <c r="AG76"/>
  <c r="AF76"/>
  <c r="AI76"/>
  <c r="W76"/>
  <c r="I76"/>
  <c r="Z76"/>
  <c r="AH76"/>
  <c r="U76"/>
  <c r="O76"/>
  <c r="N76"/>
  <c r="T76"/>
  <c r="AK76"/>
  <c r="AJ76"/>
  <c r="AM76"/>
  <c r="AA76"/>
  <c r="E76"/>
  <c r="AL76"/>
  <c r="R76"/>
  <c r="Y76"/>
  <c r="K76"/>
  <c r="H76"/>
  <c r="AB76"/>
  <c r="L76"/>
  <c r="J76"/>
  <c r="AO76"/>
  <c r="AN76"/>
  <c r="AQ76"/>
  <c r="AP76"/>
  <c r="S76"/>
  <c r="M76"/>
  <c r="V76"/>
  <c r="AC76"/>
  <c r="G76"/>
  <c r="D76"/>
  <c r="F76"/>
  <c r="AB74"/>
  <c r="AK74"/>
  <c r="AJ74"/>
  <c r="AM74"/>
  <c r="AA74"/>
  <c r="G74"/>
  <c r="Z74"/>
  <c r="H74"/>
  <c r="AC74"/>
  <c r="E74"/>
  <c r="AL74"/>
  <c r="T74"/>
  <c r="D74"/>
  <c r="AO74"/>
  <c r="AN74"/>
  <c r="AQ74"/>
  <c r="AH74"/>
  <c r="S74"/>
  <c r="O74"/>
  <c r="R74"/>
  <c r="AP74"/>
  <c r="U74"/>
  <c r="M74"/>
  <c r="F74"/>
  <c r="N74"/>
  <c r="AG74"/>
  <c r="AF74"/>
  <c r="AI74"/>
  <c r="W74"/>
  <c r="K74"/>
  <c r="V74"/>
  <c r="L74"/>
  <c r="Y74"/>
  <c r="I74"/>
  <c r="X74"/>
  <c r="J74"/>
  <c r="H54" i="6"/>
  <c r="D28" i="1"/>
  <c r="E28"/>
  <c r="F28"/>
  <c r="G28"/>
  <c r="AR74" i="4" l="1"/>
  <c r="AS74" s="1"/>
  <c r="AD76"/>
  <c r="AE76" s="1"/>
  <c r="AR75"/>
  <c r="AS75" s="1"/>
  <c r="AD74"/>
  <c r="AE74" s="1"/>
  <c r="AR76"/>
  <c r="AS76" s="1"/>
  <c r="AD75"/>
  <c r="AE75" s="1"/>
  <c r="A75"/>
  <c r="D2"/>
  <c r="AR68" l="1"/>
  <c r="AR67"/>
  <c r="AR66"/>
  <c r="AR65"/>
  <c r="AR64"/>
  <c r="AR63"/>
  <c r="AR62"/>
  <c r="AR61"/>
  <c r="AR60"/>
  <c r="AR59"/>
  <c r="AD68"/>
  <c r="AD67"/>
  <c r="AD66"/>
  <c r="AD65"/>
  <c r="AD64"/>
  <c r="AD63"/>
  <c r="AD62"/>
  <c r="AD61"/>
  <c r="AD60"/>
  <c r="AD59"/>
  <c r="A60"/>
  <c r="A52"/>
  <c r="H5" i="6"/>
  <c r="A5"/>
  <c r="E10" i="1"/>
  <c r="I10" s="1"/>
  <c r="H84" i="6" l="1"/>
  <c r="H83"/>
  <c r="H79"/>
  <c r="H77"/>
  <c r="H76"/>
  <c r="H75"/>
  <c r="H74"/>
  <c r="H72"/>
  <c r="H71"/>
  <c r="F70"/>
  <c r="D67"/>
  <c r="D49"/>
  <c r="C68" i="4" s="1"/>
  <c r="D43" i="6"/>
  <c r="D41"/>
  <c r="C64" i="4" s="1"/>
  <c r="D31" i="6"/>
  <c r="H14" i="1"/>
  <c r="P65" i="4" l="1"/>
  <c r="AT65" s="1"/>
  <c r="C65"/>
  <c r="AO85"/>
  <c r="AK85"/>
  <c r="AG85"/>
  <c r="AB85"/>
  <c r="X85"/>
  <c r="AN85"/>
  <c r="AJ85"/>
  <c r="AF85"/>
  <c r="AQ85"/>
  <c r="AM85"/>
  <c r="AI85"/>
  <c r="Z85"/>
  <c r="W85"/>
  <c r="S85"/>
  <c r="AP85"/>
  <c r="AC85"/>
  <c r="V85"/>
  <c r="R85"/>
  <c r="AL85"/>
  <c r="AA85"/>
  <c r="U85"/>
  <c r="AH85"/>
  <c r="T85"/>
  <c r="F85"/>
  <c r="J85"/>
  <c r="N85"/>
  <c r="G85"/>
  <c r="K85"/>
  <c r="O85"/>
  <c r="D85"/>
  <c r="H85"/>
  <c r="L85"/>
  <c r="I85"/>
  <c r="M85"/>
  <c r="Y85"/>
  <c r="E85"/>
  <c r="AN90"/>
  <c r="AJ90"/>
  <c r="AF90"/>
  <c r="AA90"/>
  <c r="W90"/>
  <c r="S90"/>
  <c r="AQ90"/>
  <c r="AM90"/>
  <c r="AI90"/>
  <c r="Z90"/>
  <c r="V90"/>
  <c r="R90"/>
  <c r="AP90"/>
  <c r="AL90"/>
  <c r="AH90"/>
  <c r="AC90"/>
  <c r="Y90"/>
  <c r="U90"/>
  <c r="AO90"/>
  <c r="AB90"/>
  <c r="AK90"/>
  <c r="X90"/>
  <c r="T90"/>
  <c r="F90"/>
  <c r="J90"/>
  <c r="N90"/>
  <c r="AG90"/>
  <c r="G90"/>
  <c r="K90"/>
  <c r="O90"/>
  <c r="D90"/>
  <c r="H90"/>
  <c r="L90"/>
  <c r="M90"/>
  <c r="E90"/>
  <c r="I90"/>
  <c r="AN88"/>
  <c r="AJ88"/>
  <c r="AF88"/>
  <c r="AB88"/>
  <c r="X88"/>
  <c r="T88"/>
  <c r="AQ88"/>
  <c r="AM88"/>
  <c r="AI88"/>
  <c r="AA88"/>
  <c r="W88"/>
  <c r="S88"/>
  <c r="AP88"/>
  <c r="AL88"/>
  <c r="AH88"/>
  <c r="Z88"/>
  <c r="V88"/>
  <c r="R88"/>
  <c r="AO88"/>
  <c r="AC88"/>
  <c r="AK88"/>
  <c r="Y88"/>
  <c r="AG88"/>
  <c r="U88"/>
  <c r="E88"/>
  <c r="I88"/>
  <c r="M88"/>
  <c r="F88"/>
  <c r="J88"/>
  <c r="N88"/>
  <c r="G88"/>
  <c r="K88"/>
  <c r="O88"/>
  <c r="D88"/>
  <c r="H88"/>
  <c r="L88"/>
  <c r="AN86"/>
  <c r="AJ86"/>
  <c r="AF86"/>
  <c r="AB86"/>
  <c r="X86"/>
  <c r="T86"/>
  <c r="AQ86"/>
  <c r="AM86"/>
  <c r="AI86"/>
  <c r="AA86"/>
  <c r="W86"/>
  <c r="S86"/>
  <c r="AP86"/>
  <c r="AL86"/>
  <c r="AH86"/>
  <c r="Z86"/>
  <c r="V86"/>
  <c r="R86"/>
  <c r="AG86"/>
  <c r="U86"/>
  <c r="AO86"/>
  <c r="AC86"/>
  <c r="G86"/>
  <c r="K86"/>
  <c r="O86"/>
  <c r="D86"/>
  <c r="H86"/>
  <c r="L86"/>
  <c r="Y86"/>
  <c r="E86"/>
  <c r="I86"/>
  <c r="M86"/>
  <c r="N86"/>
  <c r="F86"/>
  <c r="AK86"/>
  <c r="J86"/>
  <c r="AN94"/>
  <c r="AJ94"/>
  <c r="AF94"/>
  <c r="AA94"/>
  <c r="W94"/>
  <c r="S94"/>
  <c r="AQ94"/>
  <c r="AM94"/>
  <c r="AI94"/>
  <c r="Z94"/>
  <c r="V94"/>
  <c r="R94"/>
  <c r="AP94"/>
  <c r="AL94"/>
  <c r="AH94"/>
  <c r="AC94"/>
  <c r="Y94"/>
  <c r="U94"/>
  <c r="AK94"/>
  <c r="X94"/>
  <c r="AG94"/>
  <c r="T94"/>
  <c r="H94"/>
  <c r="L94"/>
  <c r="E94"/>
  <c r="I94"/>
  <c r="M94"/>
  <c r="AB94"/>
  <c r="F94"/>
  <c r="J94"/>
  <c r="N94"/>
  <c r="G94"/>
  <c r="K94"/>
  <c r="AO94"/>
  <c r="O94"/>
  <c r="D94"/>
  <c r="AO83"/>
  <c r="AK83"/>
  <c r="AG83"/>
  <c r="AN83"/>
  <c r="AJ83"/>
  <c r="AF83"/>
  <c r="AQ83"/>
  <c r="AM83"/>
  <c r="AI83"/>
  <c r="AL83"/>
  <c r="AA83"/>
  <c r="W83"/>
  <c r="S83"/>
  <c r="AH83"/>
  <c r="Z83"/>
  <c r="V83"/>
  <c r="R83"/>
  <c r="AC83"/>
  <c r="Y83"/>
  <c r="U83"/>
  <c r="AB83"/>
  <c r="H83"/>
  <c r="L83"/>
  <c r="AP83"/>
  <c r="X83"/>
  <c r="E83"/>
  <c r="I83"/>
  <c r="M83"/>
  <c r="T83"/>
  <c r="F83"/>
  <c r="J83"/>
  <c r="N83"/>
  <c r="O83"/>
  <c r="D83"/>
  <c r="G83"/>
  <c r="K83"/>
  <c r="AO82"/>
  <c r="AK82"/>
  <c r="AG82"/>
  <c r="AN82"/>
  <c r="AJ82"/>
  <c r="AF82"/>
  <c r="AQ82"/>
  <c r="AM82"/>
  <c r="AI82"/>
  <c r="AH82"/>
  <c r="AA82"/>
  <c r="W82"/>
  <c r="S82"/>
  <c r="G82"/>
  <c r="Z82"/>
  <c r="V82"/>
  <c r="R82"/>
  <c r="AP82"/>
  <c r="AC82"/>
  <c r="Y82"/>
  <c r="U82"/>
  <c r="E82"/>
  <c r="I82"/>
  <c r="X82"/>
  <c r="K82"/>
  <c r="O82"/>
  <c r="D82"/>
  <c r="T82"/>
  <c r="F82"/>
  <c r="L82"/>
  <c r="AL82"/>
  <c r="H82"/>
  <c r="M82"/>
  <c r="J82"/>
  <c r="AB82"/>
  <c r="N82"/>
  <c r="AN87"/>
  <c r="AJ87"/>
  <c r="AF87"/>
  <c r="AB87"/>
  <c r="X87"/>
  <c r="T87"/>
  <c r="AQ87"/>
  <c r="AM87"/>
  <c r="AI87"/>
  <c r="AA87"/>
  <c r="W87"/>
  <c r="S87"/>
  <c r="AP87"/>
  <c r="AL87"/>
  <c r="AH87"/>
  <c r="Z87"/>
  <c r="V87"/>
  <c r="R87"/>
  <c r="AK87"/>
  <c r="Y87"/>
  <c r="AG87"/>
  <c r="U87"/>
  <c r="H87"/>
  <c r="L87"/>
  <c r="AC87"/>
  <c r="E87"/>
  <c r="I87"/>
  <c r="M87"/>
  <c r="AO87"/>
  <c r="F87"/>
  <c r="J87"/>
  <c r="N87"/>
  <c r="G87"/>
  <c r="K87"/>
  <c r="O87"/>
  <c r="D87"/>
  <c r="AN95"/>
  <c r="AJ95"/>
  <c r="AF95"/>
  <c r="AA95"/>
  <c r="W95"/>
  <c r="S95"/>
  <c r="AQ95"/>
  <c r="AM95"/>
  <c r="AI95"/>
  <c r="Z95"/>
  <c r="V95"/>
  <c r="R95"/>
  <c r="AP95"/>
  <c r="AL95"/>
  <c r="AH95"/>
  <c r="AC95"/>
  <c r="Y95"/>
  <c r="U95"/>
  <c r="AO95"/>
  <c r="AB95"/>
  <c r="AK95"/>
  <c r="X95"/>
  <c r="AG95"/>
  <c r="T95"/>
  <c r="E95"/>
  <c r="I95"/>
  <c r="M95"/>
  <c r="F95"/>
  <c r="J95"/>
  <c r="N95"/>
  <c r="G95"/>
  <c r="K95"/>
  <c r="O95"/>
  <c r="D95"/>
  <c r="L95"/>
  <c r="H95"/>
  <c r="D38" i="1" l="1"/>
  <c r="D47" s="1"/>
  <c r="C5" i="6"/>
  <c r="AR83" i="4"/>
  <c r="AS83" s="1"/>
  <c r="AD82"/>
  <c r="AE82" s="1"/>
  <c r="AR94"/>
  <c r="AS94" s="1"/>
  <c r="AR87"/>
  <c r="AS87" s="1"/>
  <c r="AD83"/>
  <c r="AE83" s="1"/>
  <c r="AR86"/>
  <c r="AS86" s="1"/>
  <c r="AD85"/>
  <c r="AE85" s="1"/>
  <c r="P95"/>
  <c r="AD87"/>
  <c r="AE87" s="1"/>
  <c r="AD86"/>
  <c r="AE86" s="1"/>
  <c r="AR88"/>
  <c r="AS88" s="1"/>
  <c r="AD90"/>
  <c r="AE90" s="1"/>
  <c r="AR95"/>
  <c r="AS95" s="1"/>
  <c r="AD95"/>
  <c r="AE95" s="1"/>
  <c r="AR82"/>
  <c r="AS82" s="1"/>
  <c r="AD94"/>
  <c r="AE94" s="1"/>
  <c r="AD88"/>
  <c r="AE88" s="1"/>
  <c r="AR90"/>
  <c r="AS90" s="1"/>
  <c r="AR85"/>
  <c r="AS85" s="1"/>
  <c r="E5" i="6"/>
  <c r="D73" i="4"/>
  <c r="D3"/>
  <c r="AT35"/>
  <c r="AT57" s="1"/>
  <c r="AT71" s="1"/>
  <c r="AT99" s="1"/>
  <c r="AT111" s="1"/>
  <c r="R69"/>
  <c r="S69"/>
  <c r="T69"/>
  <c r="U69"/>
  <c r="V69"/>
  <c r="W69"/>
  <c r="X69"/>
  <c r="Y69"/>
  <c r="Z69"/>
  <c r="AA69"/>
  <c r="AB69"/>
  <c r="AC69"/>
  <c r="AF69"/>
  <c r="AF104" s="1"/>
  <c r="AG69"/>
  <c r="AG104" s="1"/>
  <c r="AH69"/>
  <c r="AH104" s="1"/>
  <c r="AI69"/>
  <c r="AI104" s="1"/>
  <c r="AJ69"/>
  <c r="AJ104" s="1"/>
  <c r="AK69"/>
  <c r="AK104" s="1"/>
  <c r="AL69"/>
  <c r="AL104" s="1"/>
  <c r="AM69"/>
  <c r="AM104" s="1"/>
  <c r="AN69"/>
  <c r="AN104" s="1"/>
  <c r="AO69"/>
  <c r="AO104" s="1"/>
  <c r="AP69"/>
  <c r="AP104" s="1"/>
  <c r="AQ69"/>
  <c r="AQ104" s="1"/>
  <c r="O69"/>
  <c r="AR117"/>
  <c r="AR116"/>
  <c r="AS35"/>
  <c r="AS57" s="1"/>
  <c r="AS71" s="1"/>
  <c r="AS99" s="1"/>
  <c r="AS111" s="1"/>
  <c r="AR35"/>
  <c r="AR57" s="1"/>
  <c r="AR71" s="1"/>
  <c r="AR99" s="1"/>
  <c r="AR111" s="1"/>
  <c r="AD117"/>
  <c r="AD116"/>
  <c r="AE35"/>
  <c r="AE57" s="1"/>
  <c r="AE71" s="1"/>
  <c r="AE99" s="1"/>
  <c r="AE111" s="1"/>
  <c r="AD35"/>
  <c r="AD57" s="1"/>
  <c r="AD71" s="1"/>
  <c r="AD99" s="1"/>
  <c r="AD111" s="1"/>
  <c r="Q35"/>
  <c r="Q57" s="1"/>
  <c r="Q71" s="1"/>
  <c r="Q99" s="1"/>
  <c r="Q111" s="1"/>
  <c r="P35"/>
  <c r="P57" s="1"/>
  <c r="P71" s="1"/>
  <c r="P99" s="1"/>
  <c r="P111" s="1"/>
  <c r="P118"/>
  <c r="AT118" s="1"/>
  <c r="E3" l="1"/>
  <c r="F3" s="1"/>
  <c r="G3" s="1"/>
  <c r="H3" s="1"/>
  <c r="I3" s="1"/>
  <c r="J3" s="1"/>
  <c r="K3" s="1"/>
  <c r="L3" s="1"/>
  <c r="M3" s="1"/>
  <c r="N3" s="1"/>
  <c r="O3" s="1"/>
  <c r="R3" s="1"/>
  <c r="S3" s="1"/>
  <c r="T3" s="1"/>
  <c r="U3" s="1"/>
  <c r="V3" s="1"/>
  <c r="W3" s="1"/>
  <c r="X3" s="1"/>
  <c r="Y3" s="1"/>
  <c r="Z3" s="1"/>
  <c r="AA3" s="1"/>
  <c r="AB3" s="1"/>
  <c r="AC3" s="1"/>
  <c r="AF3" s="1"/>
  <c r="AG3" s="1"/>
  <c r="AH3" s="1"/>
  <c r="AI3" s="1"/>
  <c r="AJ3" s="1"/>
  <c r="AK3" s="1"/>
  <c r="AL3" s="1"/>
  <c r="AM3" s="1"/>
  <c r="AN3" s="1"/>
  <c r="AO3" s="1"/>
  <c r="AP3" s="1"/>
  <c r="AQ3" s="1"/>
  <c r="N142"/>
  <c r="K142"/>
  <c r="K7" s="1"/>
  <c r="H142"/>
  <c r="E142"/>
  <c r="O142"/>
  <c r="L142"/>
  <c r="L7" s="1"/>
  <c r="I142"/>
  <c r="F142"/>
  <c r="F7" s="1"/>
  <c r="M142"/>
  <c r="J142"/>
  <c r="G142"/>
  <c r="G7" s="1"/>
  <c r="D142"/>
  <c r="O7"/>
  <c r="I15" i="6"/>
  <c r="I9"/>
  <c r="E9" s="1"/>
  <c r="I10"/>
  <c r="E10" s="1"/>
  <c r="D33"/>
  <c r="Q95" i="4"/>
  <c r="AT95"/>
  <c r="I23" i="6"/>
  <c r="I25"/>
  <c r="I22"/>
  <c r="I24"/>
  <c r="I26"/>
  <c r="I17"/>
  <c r="AD69" i="4"/>
  <c r="AR69"/>
  <c r="AR104"/>
  <c r="P63"/>
  <c r="AT63" s="1"/>
  <c r="P62"/>
  <c r="AT62" s="1"/>
  <c r="P61"/>
  <c r="A61"/>
  <c r="P60" l="1"/>
  <c r="AT60" s="1"/>
  <c r="C60"/>
  <c r="J7"/>
  <c r="J27" s="1"/>
  <c r="J49" s="1"/>
  <c r="AL7"/>
  <c r="AL22" s="1"/>
  <c r="AL44" s="1"/>
  <c r="X7"/>
  <c r="X27" s="1"/>
  <c r="X49" s="1"/>
  <c r="I7"/>
  <c r="I27" s="1"/>
  <c r="I49" s="1"/>
  <c r="AK7"/>
  <c r="AK22" s="1"/>
  <c r="AK44" s="1"/>
  <c r="W7"/>
  <c r="W26" s="1"/>
  <c r="E7"/>
  <c r="E27" s="1"/>
  <c r="E49" s="1"/>
  <c r="AG7"/>
  <c r="AG26" s="1"/>
  <c r="S7"/>
  <c r="S26" s="1"/>
  <c r="N7"/>
  <c r="N30" s="1"/>
  <c r="N52" s="1"/>
  <c r="AP7"/>
  <c r="AP27" s="1"/>
  <c r="AP49" s="1"/>
  <c r="AB7"/>
  <c r="AB28" s="1"/>
  <c r="AB50" s="1"/>
  <c r="AF7"/>
  <c r="AF27" s="1"/>
  <c r="R7"/>
  <c r="R27" s="1"/>
  <c r="M7"/>
  <c r="M27" s="1"/>
  <c r="M49" s="1"/>
  <c r="AO7"/>
  <c r="AO22" s="1"/>
  <c r="AO44" s="1"/>
  <c r="AA7"/>
  <c r="AA27" s="1"/>
  <c r="AA49" s="1"/>
  <c r="AN7"/>
  <c r="AN15" s="1"/>
  <c r="Z7"/>
  <c r="Z26" s="1"/>
  <c r="AJ7"/>
  <c r="AJ22" s="1"/>
  <c r="AJ44" s="1"/>
  <c r="V7"/>
  <c r="V22" s="1"/>
  <c r="V44" s="1"/>
  <c r="AI7"/>
  <c r="AI22" s="1"/>
  <c r="AI44" s="1"/>
  <c r="U7"/>
  <c r="U29" s="1"/>
  <c r="U51" s="1"/>
  <c r="AH7"/>
  <c r="AH28" s="1"/>
  <c r="AH50" s="1"/>
  <c r="T7"/>
  <c r="T28" s="1"/>
  <c r="T50" s="1"/>
  <c r="AQ7"/>
  <c r="AQ26" s="1"/>
  <c r="AC7"/>
  <c r="AC27" s="1"/>
  <c r="AC49" s="1"/>
  <c r="AM7"/>
  <c r="AM27" s="1"/>
  <c r="AM49" s="1"/>
  <c r="Y7"/>
  <c r="Y28" s="1"/>
  <c r="Y50" s="1"/>
  <c r="D7"/>
  <c r="D30" s="1"/>
  <c r="H7"/>
  <c r="H27" s="1"/>
  <c r="H49" s="1"/>
  <c r="AH27"/>
  <c r="AH49" s="1"/>
  <c r="F27"/>
  <c r="F49" s="1"/>
  <c r="G27"/>
  <c r="G49" s="1"/>
  <c r="O27"/>
  <c r="O49" s="1"/>
  <c r="Z27"/>
  <c r="Z49" s="1"/>
  <c r="K27"/>
  <c r="K49" s="1"/>
  <c r="W27"/>
  <c r="W49" s="1"/>
  <c r="L27"/>
  <c r="L49" s="1"/>
  <c r="U22"/>
  <c r="U44" s="1"/>
  <c r="AN22"/>
  <c r="AN44" s="1"/>
  <c r="AM28"/>
  <c r="AM50" s="1"/>
  <c r="AP28"/>
  <c r="AP50" s="1"/>
  <c r="Z28"/>
  <c r="Z50" s="1"/>
  <c r="G28"/>
  <c r="G50" s="1"/>
  <c r="K28"/>
  <c r="K50" s="1"/>
  <c r="O28"/>
  <c r="O50" s="1"/>
  <c r="L28"/>
  <c r="L50" s="1"/>
  <c r="D28"/>
  <c r="D50" s="1"/>
  <c r="X28"/>
  <c r="X50" s="1"/>
  <c r="M28"/>
  <c r="M50" s="1"/>
  <c r="F28"/>
  <c r="F50" s="1"/>
  <c r="AI15"/>
  <c r="AC15"/>
  <c r="D15"/>
  <c r="D37" s="1"/>
  <c r="X15"/>
  <c r="AH15"/>
  <c r="W15"/>
  <c r="E23" i="6"/>
  <c r="AO26" i="4"/>
  <c r="AC26"/>
  <c r="M26"/>
  <c r="F26"/>
  <c r="L26"/>
  <c r="X26"/>
  <c r="G26"/>
  <c r="K26"/>
  <c r="O26"/>
  <c r="D26"/>
  <c r="E26" i="6"/>
  <c r="AM30" i="4"/>
  <c r="AM52" s="1"/>
  <c r="AP30"/>
  <c r="AP52" s="1"/>
  <c r="I30"/>
  <c r="I52" s="1"/>
  <c r="M30"/>
  <c r="M52" s="1"/>
  <c r="F30"/>
  <c r="F52" s="1"/>
  <c r="L30"/>
  <c r="L52" s="1"/>
  <c r="G30"/>
  <c r="G52" s="1"/>
  <c r="K30"/>
  <c r="K52" s="1"/>
  <c r="O30"/>
  <c r="O52" s="1"/>
  <c r="E24" i="6"/>
  <c r="E25"/>
  <c r="AC29" i="4"/>
  <c r="AC51" s="1"/>
  <c r="W29"/>
  <c r="W51" s="1"/>
  <c r="L29"/>
  <c r="L51" s="1"/>
  <c r="M29"/>
  <c r="M51" s="1"/>
  <c r="O29"/>
  <c r="O51" s="1"/>
  <c r="AB29"/>
  <c r="AB51" s="1"/>
  <c r="K29"/>
  <c r="K51" s="1"/>
  <c r="F29"/>
  <c r="F51" s="1"/>
  <c r="G29"/>
  <c r="G51" s="1"/>
  <c r="I27" i="6"/>
  <c r="E22"/>
  <c r="AT61" i="4"/>
  <c r="A73"/>
  <c r="A74"/>
  <c r="F69"/>
  <c r="G69"/>
  <c r="H69"/>
  <c r="I69"/>
  <c r="J69"/>
  <c r="K69"/>
  <c r="L69"/>
  <c r="M69"/>
  <c r="N69"/>
  <c r="T104"/>
  <c r="U104"/>
  <c r="V104"/>
  <c r="X104"/>
  <c r="Y104"/>
  <c r="Z104"/>
  <c r="AB104"/>
  <c r="AC104"/>
  <c r="P68"/>
  <c r="AT68" s="1"/>
  <c r="P67"/>
  <c r="AT67" s="1"/>
  <c r="P66"/>
  <c r="AT66" s="1"/>
  <c r="P64"/>
  <c r="AT64" s="1"/>
  <c r="A59"/>
  <c r="A51"/>
  <c r="A50"/>
  <c r="A49"/>
  <c r="A48"/>
  <c r="A44"/>
  <c r="A43"/>
  <c r="A42"/>
  <c r="A41"/>
  <c r="A40"/>
  <c r="A39"/>
  <c r="A38"/>
  <c r="AA104"/>
  <c r="W104"/>
  <c r="S104"/>
  <c r="D6"/>
  <c r="AJ29" l="1"/>
  <c r="AJ51" s="1"/>
  <c r="AH29"/>
  <c r="AH51" s="1"/>
  <c r="AB30"/>
  <c r="AB52" s="1"/>
  <c r="AJ30"/>
  <c r="AJ52" s="1"/>
  <c r="AH26"/>
  <c r="AJ15"/>
  <c r="AJ37" s="1"/>
  <c r="I28"/>
  <c r="I50" s="1"/>
  <c r="W22"/>
  <c r="W44" s="1"/>
  <c r="AH22"/>
  <c r="AH44" s="1"/>
  <c r="AB27"/>
  <c r="AB49" s="1"/>
  <c r="AB26"/>
  <c r="AB48" s="1"/>
  <c r="AB53" s="1"/>
  <c r="AB22"/>
  <c r="AB44" s="1"/>
  <c r="AO27"/>
  <c r="AO49" s="1"/>
  <c r="AH30"/>
  <c r="AH52" s="1"/>
  <c r="AB15"/>
  <c r="AG27"/>
  <c r="AG49" s="1"/>
  <c r="U27"/>
  <c r="U49" s="1"/>
  <c r="X30"/>
  <c r="X52" s="1"/>
  <c r="Z15"/>
  <c r="AC28"/>
  <c r="AC50" s="1"/>
  <c r="X22"/>
  <c r="X44" s="1"/>
  <c r="AC22"/>
  <c r="AC44" s="1"/>
  <c r="X29"/>
  <c r="X51" s="1"/>
  <c r="AC30"/>
  <c r="AC52" s="1"/>
  <c r="E26"/>
  <c r="E48" s="1"/>
  <c r="AP15"/>
  <c r="AP37" s="1"/>
  <c r="U15"/>
  <c r="H28"/>
  <c r="H50" s="1"/>
  <c r="Z22"/>
  <c r="Z44" s="1"/>
  <c r="AP22"/>
  <c r="AP44" s="1"/>
  <c r="AN27"/>
  <c r="AN49" s="1"/>
  <c r="Y29"/>
  <c r="Y51" s="1"/>
  <c r="V30"/>
  <c r="V52" s="1"/>
  <c r="AA30"/>
  <c r="AA52" s="1"/>
  <c r="AI26"/>
  <c r="AI48" s="1"/>
  <c r="N28"/>
  <c r="N50" s="1"/>
  <c r="AA28"/>
  <c r="AA50" s="1"/>
  <c r="AF22"/>
  <c r="AF44" s="1"/>
  <c r="D27"/>
  <c r="D49" s="1"/>
  <c r="D29"/>
  <c r="D51" s="1"/>
  <c r="AL29"/>
  <c r="AL51" s="1"/>
  <c r="W30"/>
  <c r="W52" s="1"/>
  <c r="R26"/>
  <c r="AA15"/>
  <c r="AA37" s="1"/>
  <c r="W28"/>
  <c r="W50" s="1"/>
  <c r="AQ22"/>
  <c r="AQ44" s="1"/>
  <c r="V27"/>
  <c r="V49" s="1"/>
  <c r="N27"/>
  <c r="N49" s="1"/>
  <c r="AI27"/>
  <c r="AI49" s="1"/>
  <c r="J29"/>
  <c r="J51" s="1"/>
  <c r="T29"/>
  <c r="T51" s="1"/>
  <c r="V26"/>
  <c r="AK26"/>
  <c r="AK48" s="1"/>
  <c r="V29"/>
  <c r="V51" s="1"/>
  <c r="T30"/>
  <c r="T52" s="1"/>
  <c r="AN30"/>
  <c r="AN52" s="1"/>
  <c r="S30"/>
  <c r="S52" s="1"/>
  <c r="AL26"/>
  <c r="AL48" s="1"/>
  <c r="S15"/>
  <c r="S37" s="1"/>
  <c r="J28"/>
  <c r="J50" s="1"/>
  <c r="AN28"/>
  <c r="AN50" s="1"/>
  <c r="S28"/>
  <c r="S50" s="1"/>
  <c r="S22"/>
  <c r="S44" s="1"/>
  <c r="T22"/>
  <c r="T44" s="1"/>
  <c r="S27"/>
  <c r="S49" s="1"/>
  <c r="S29"/>
  <c r="S51" s="1"/>
  <c r="AN29"/>
  <c r="AN51" s="1"/>
  <c r="AK29"/>
  <c r="AK51" s="1"/>
  <c r="AQ30"/>
  <c r="AQ52" s="1"/>
  <c r="AN26"/>
  <c r="AN48" s="1"/>
  <c r="R15"/>
  <c r="R37" s="1"/>
  <c r="V15"/>
  <c r="V37" s="1"/>
  <c r="AQ15"/>
  <c r="V28"/>
  <c r="V50" s="1"/>
  <c r="AQ28"/>
  <c r="AQ50" s="1"/>
  <c r="AQ27"/>
  <c r="AQ49" s="1"/>
  <c r="Z29"/>
  <c r="Z51" s="1"/>
  <c r="I29"/>
  <c r="I51" s="1"/>
  <c r="H29"/>
  <c r="H51" s="1"/>
  <c r="AO29"/>
  <c r="AO51" s="1"/>
  <c r="AM29"/>
  <c r="AM51" s="1"/>
  <c r="H30"/>
  <c r="H52" s="1"/>
  <c r="Z30"/>
  <c r="Z52" s="1"/>
  <c r="AI30"/>
  <c r="AI52" s="1"/>
  <c r="H26"/>
  <c r="H48" s="1"/>
  <c r="T26"/>
  <c r="T48" s="1"/>
  <c r="AF26"/>
  <c r="AF48" s="1"/>
  <c r="N26"/>
  <c r="N48" s="1"/>
  <c r="I26"/>
  <c r="I48" s="1"/>
  <c r="AO15"/>
  <c r="AO37" s="1"/>
  <c r="AF28"/>
  <c r="AF50" s="1"/>
  <c r="AI28"/>
  <c r="AI50" s="1"/>
  <c r="AM22"/>
  <c r="AM44" s="1"/>
  <c r="T27"/>
  <c r="T49" s="1"/>
  <c r="N29"/>
  <c r="N51" s="1"/>
  <c r="E29"/>
  <c r="E51" s="1"/>
  <c r="AF29"/>
  <c r="AF51" s="1"/>
  <c r="AI29"/>
  <c r="AI51" s="1"/>
  <c r="AF30"/>
  <c r="AF52" s="1"/>
  <c r="J30"/>
  <c r="J52" s="1"/>
  <c r="E30"/>
  <c r="E52" s="1"/>
  <c r="AO30"/>
  <c r="AO52" s="1"/>
  <c r="J26"/>
  <c r="J48" s="1"/>
  <c r="AM26"/>
  <c r="AF15"/>
  <c r="AF37" s="1"/>
  <c r="T15"/>
  <c r="T37" s="1"/>
  <c r="AM15"/>
  <c r="AM37" s="1"/>
  <c r="E28"/>
  <c r="E50" s="1"/>
  <c r="AO28"/>
  <c r="AO50" s="1"/>
  <c r="R29"/>
  <c r="R51" s="1"/>
  <c r="AA29"/>
  <c r="AA51" s="1"/>
  <c r="AP29"/>
  <c r="AP51" s="1"/>
  <c r="AQ29"/>
  <c r="AQ51" s="1"/>
  <c r="R30"/>
  <c r="R52" s="1"/>
  <c r="AG30"/>
  <c r="AG52" s="1"/>
  <c r="U30"/>
  <c r="U52" s="1"/>
  <c r="AA26"/>
  <c r="U26"/>
  <c r="U48" s="1"/>
  <c r="AJ26"/>
  <c r="AJ48" s="1"/>
  <c r="AP26"/>
  <c r="AP48" s="1"/>
  <c r="AP53" s="1"/>
  <c r="Y15"/>
  <c r="Y37" s="1"/>
  <c r="AG15"/>
  <c r="AG37" s="1"/>
  <c r="AJ28"/>
  <c r="AJ50" s="1"/>
  <c r="AG28"/>
  <c r="AG50" s="1"/>
  <c r="U28"/>
  <c r="U50" s="1"/>
  <c r="R22"/>
  <c r="R44" s="1"/>
  <c r="Y22"/>
  <c r="Y44" s="1"/>
  <c r="AG22"/>
  <c r="AG44" s="1"/>
  <c r="AJ27"/>
  <c r="AJ49" s="1"/>
  <c r="Y27"/>
  <c r="Y49" s="1"/>
  <c r="AK27"/>
  <c r="AK49" s="1"/>
  <c r="AL27"/>
  <c r="AL49" s="1"/>
  <c r="AG29"/>
  <c r="AG51" s="1"/>
  <c r="AK30"/>
  <c r="AK52" s="1"/>
  <c r="AL30"/>
  <c r="AL52" s="1"/>
  <c r="Y30"/>
  <c r="Y52" s="1"/>
  <c r="Y26"/>
  <c r="AL15"/>
  <c r="AK15"/>
  <c r="AK37" s="1"/>
  <c r="R28"/>
  <c r="AK28"/>
  <c r="AK50" s="1"/>
  <c r="AL28"/>
  <c r="AL50" s="1"/>
  <c r="AA22"/>
  <c r="AA44" s="1"/>
  <c r="V48"/>
  <c r="AH48"/>
  <c r="AH31"/>
  <c r="AC37"/>
  <c r="E27" i="6"/>
  <c r="D52" i="4"/>
  <c r="O48"/>
  <c r="O53" s="1"/>
  <c r="O31"/>
  <c r="W48"/>
  <c r="F48"/>
  <c r="F53" s="1"/>
  <c r="F31"/>
  <c r="AG48"/>
  <c r="AQ48"/>
  <c r="W37"/>
  <c r="Z37"/>
  <c r="AI37"/>
  <c r="R49"/>
  <c r="S48"/>
  <c r="AN37"/>
  <c r="AF49"/>
  <c r="D48"/>
  <c r="K48"/>
  <c r="K53" s="1"/>
  <c r="K31"/>
  <c r="L48"/>
  <c r="L53" s="1"/>
  <c r="L31"/>
  <c r="M48"/>
  <c r="M53" s="1"/>
  <c r="M31"/>
  <c r="Y48"/>
  <c r="U37"/>
  <c r="AB37"/>
  <c r="R48"/>
  <c r="G48"/>
  <c r="G53" s="1"/>
  <c r="G31"/>
  <c r="X31"/>
  <c r="X48"/>
  <c r="Z48"/>
  <c r="AC31"/>
  <c r="AC48"/>
  <c r="AC53" s="1"/>
  <c r="AO48"/>
  <c r="AH37"/>
  <c r="X37"/>
  <c r="AQ37"/>
  <c r="P79"/>
  <c r="P76"/>
  <c r="P78"/>
  <c r="P84"/>
  <c r="P88"/>
  <c r="P90"/>
  <c r="P92"/>
  <c r="P94"/>
  <c r="P86"/>
  <c r="P73"/>
  <c r="AT73" s="1"/>
  <c r="P77"/>
  <c r="P83"/>
  <c r="P85"/>
  <c r="P87"/>
  <c r="P89"/>
  <c r="P91"/>
  <c r="P93"/>
  <c r="E6"/>
  <c r="R104"/>
  <c r="AD104" s="1"/>
  <c r="X53" l="1"/>
  <c r="AB31"/>
  <c r="AH53"/>
  <c r="W31"/>
  <c r="H31"/>
  <c r="N53"/>
  <c r="V31"/>
  <c r="AN53"/>
  <c r="D31"/>
  <c r="E53"/>
  <c r="AQ53"/>
  <c r="AN31"/>
  <c r="Y53"/>
  <c r="J53"/>
  <c r="W53"/>
  <c r="AD15"/>
  <c r="AE15" s="1"/>
  <c r="S31"/>
  <c r="AG31"/>
  <c r="AF31"/>
  <c r="AD28"/>
  <c r="AE28" s="1"/>
  <c r="AD27"/>
  <c r="AE27" s="1"/>
  <c r="J31"/>
  <c r="AR30"/>
  <c r="AS30" s="1"/>
  <c r="H53"/>
  <c r="T31"/>
  <c r="S53"/>
  <c r="V53"/>
  <c r="AA31"/>
  <c r="AR22"/>
  <c r="AS22" s="1"/>
  <c r="AI53"/>
  <c r="AD49"/>
  <c r="AE49" s="1"/>
  <c r="AG53"/>
  <c r="Y31"/>
  <c r="AJ31"/>
  <c r="AD51"/>
  <c r="AE51" s="1"/>
  <c r="AM31"/>
  <c r="I31"/>
  <c r="T53"/>
  <c r="I53"/>
  <c r="R50"/>
  <c r="AD50" s="1"/>
  <c r="AE50" s="1"/>
  <c r="AI31"/>
  <c r="AO31"/>
  <c r="Z53"/>
  <c r="AR51"/>
  <c r="AS51" s="1"/>
  <c r="E31"/>
  <c r="P31" s="1"/>
  <c r="Q31" s="1"/>
  <c r="AQ31"/>
  <c r="U31"/>
  <c r="P52"/>
  <c r="Q52" s="1"/>
  <c r="AM48"/>
  <c r="AM53" s="1"/>
  <c r="N31"/>
  <c r="AR15"/>
  <c r="AS15" s="1"/>
  <c r="AD44"/>
  <c r="AE44" s="1"/>
  <c r="AD52"/>
  <c r="AE52" s="1"/>
  <c r="AO53"/>
  <c r="Z31"/>
  <c r="AR29"/>
  <c r="AS29" s="1"/>
  <c r="AR44"/>
  <c r="AS44" s="1"/>
  <c r="AK31"/>
  <c r="U53"/>
  <c r="P30"/>
  <c r="Q30" s="1"/>
  <c r="AD22"/>
  <c r="AE22" s="1"/>
  <c r="R31"/>
  <c r="AD30"/>
  <c r="AE30" s="1"/>
  <c r="AL37"/>
  <c r="AR37" s="1"/>
  <c r="AS37" s="1"/>
  <c r="AP31"/>
  <c r="AK53"/>
  <c r="AA48"/>
  <c r="AA53" s="1"/>
  <c r="AR27"/>
  <c r="AS27" s="1"/>
  <c r="AR28"/>
  <c r="AS28" s="1"/>
  <c r="AL31"/>
  <c r="AR26"/>
  <c r="AS26" s="1"/>
  <c r="AR52"/>
  <c r="AS52" s="1"/>
  <c r="AD26"/>
  <c r="AE26" s="1"/>
  <c r="AJ53"/>
  <c r="AR49"/>
  <c r="AS49" s="1"/>
  <c r="AR50"/>
  <c r="AS50" s="1"/>
  <c r="AL53"/>
  <c r="AD29"/>
  <c r="AE29" s="1"/>
  <c r="D53"/>
  <c r="AF53"/>
  <c r="AD37"/>
  <c r="AE37" s="1"/>
  <c r="Q91"/>
  <c r="AT91"/>
  <c r="Q87"/>
  <c r="AT87"/>
  <c r="Q83"/>
  <c r="AT83"/>
  <c r="Q73"/>
  <c r="Q94"/>
  <c r="AT94"/>
  <c r="Q90"/>
  <c r="AT90"/>
  <c r="Q84"/>
  <c r="AT84"/>
  <c r="Q76"/>
  <c r="AT76"/>
  <c r="Q93"/>
  <c r="AT93"/>
  <c r="Q89"/>
  <c r="AT89"/>
  <c r="Q85"/>
  <c r="AT85"/>
  <c r="Q77"/>
  <c r="AT77"/>
  <c r="Q86"/>
  <c r="AT86"/>
  <c r="Q92"/>
  <c r="AT92"/>
  <c r="Q88"/>
  <c r="AT88"/>
  <c r="Q78"/>
  <c r="AT78"/>
  <c r="Q79"/>
  <c r="AT79"/>
  <c r="F6"/>
  <c r="P53" l="1"/>
  <c r="Q53" s="1"/>
  <c r="AR31"/>
  <c r="AS31" s="1"/>
  <c r="AD31"/>
  <c r="AE31" s="1"/>
  <c r="R53"/>
  <c r="AD53" s="1"/>
  <c r="AE53" s="1"/>
  <c r="AR48"/>
  <c r="AS48" s="1"/>
  <c r="AD48"/>
  <c r="AE48" s="1"/>
  <c r="AT30"/>
  <c r="AT52"/>
  <c r="AR53"/>
  <c r="AS53" s="1"/>
  <c r="G6"/>
  <c r="J13" i="6"/>
  <c r="J17"/>
  <c r="J16"/>
  <c r="J15"/>
  <c r="J14"/>
  <c r="J12"/>
  <c r="J11"/>
  <c r="AT31" i="4" l="1"/>
  <c r="AT53"/>
  <c r="J9" i="6"/>
  <c r="G70"/>
  <c r="H70"/>
  <c r="G31"/>
  <c r="H31"/>
  <c r="D51" l="1"/>
  <c r="C59" i="4"/>
  <c r="C69" s="1"/>
  <c r="C104" s="1"/>
  <c r="AO81"/>
  <c r="AK81"/>
  <c r="AG81"/>
  <c r="AN81"/>
  <c r="AJ81"/>
  <c r="AF81"/>
  <c r="AQ81"/>
  <c r="AM81"/>
  <c r="AI81"/>
  <c r="AA81"/>
  <c r="W81"/>
  <c r="S81"/>
  <c r="F81"/>
  <c r="J81"/>
  <c r="N81"/>
  <c r="AP81"/>
  <c r="Z81"/>
  <c r="V81"/>
  <c r="R81"/>
  <c r="AL81"/>
  <c r="AC81"/>
  <c r="Y81"/>
  <c r="U81"/>
  <c r="H81"/>
  <c r="L81"/>
  <c r="T81"/>
  <c r="G81"/>
  <c r="O81"/>
  <c r="I81"/>
  <c r="D81"/>
  <c r="AB81"/>
  <c r="K81"/>
  <c r="AH81"/>
  <c r="X81"/>
  <c r="E81"/>
  <c r="M81"/>
  <c r="H6"/>
  <c r="I6"/>
  <c r="AD81" l="1"/>
  <c r="AE81" s="1"/>
  <c r="AR81"/>
  <c r="AS81" s="1"/>
  <c r="P59"/>
  <c r="P69" s="1"/>
  <c r="AT69" s="1"/>
  <c r="D69"/>
  <c r="P82"/>
  <c r="J6"/>
  <c r="I11" i="6"/>
  <c r="I13"/>
  <c r="I16"/>
  <c r="I14"/>
  <c r="I12"/>
  <c r="AT59" i="4" l="1"/>
  <c r="AQ21"/>
  <c r="AQ43" s="1"/>
  <c r="AM21"/>
  <c r="AM43" s="1"/>
  <c r="AI21"/>
  <c r="AI43" s="1"/>
  <c r="AP21"/>
  <c r="AP43" s="1"/>
  <c r="AL21"/>
  <c r="AL43" s="1"/>
  <c r="AH21"/>
  <c r="AH43" s="1"/>
  <c r="AO21"/>
  <c r="AO43" s="1"/>
  <c r="AK21"/>
  <c r="AK43" s="1"/>
  <c r="AG21"/>
  <c r="AG43" s="1"/>
  <c r="AC21"/>
  <c r="AC43" s="1"/>
  <c r="Y21"/>
  <c r="Y43" s="1"/>
  <c r="U21"/>
  <c r="U43" s="1"/>
  <c r="Z21"/>
  <c r="Z43" s="1"/>
  <c r="AN21"/>
  <c r="AN43" s="1"/>
  <c r="AB21"/>
  <c r="AB43" s="1"/>
  <c r="X21"/>
  <c r="X43" s="1"/>
  <c r="T21"/>
  <c r="T43" s="1"/>
  <c r="R21"/>
  <c r="AJ21"/>
  <c r="AJ43" s="1"/>
  <c r="AA21"/>
  <c r="AA43" s="1"/>
  <c r="W21"/>
  <c r="W43" s="1"/>
  <c r="S21"/>
  <c r="S43" s="1"/>
  <c r="AF21"/>
  <c r="V21"/>
  <c r="V43" s="1"/>
  <c r="AQ18"/>
  <c r="AQ40" s="1"/>
  <c r="AM18"/>
  <c r="AM40" s="1"/>
  <c r="AI18"/>
  <c r="AI40" s="1"/>
  <c r="AO18"/>
  <c r="AO40" s="1"/>
  <c r="AK18"/>
  <c r="AK40" s="1"/>
  <c r="AG18"/>
  <c r="AG40" s="1"/>
  <c r="AN18"/>
  <c r="AN40" s="1"/>
  <c r="AF18"/>
  <c r="AC18"/>
  <c r="AC40" s="1"/>
  <c r="Y18"/>
  <c r="Y40" s="1"/>
  <c r="U18"/>
  <c r="U40" s="1"/>
  <c r="X18"/>
  <c r="X40" s="1"/>
  <c r="AH18"/>
  <c r="AH40" s="1"/>
  <c r="V18"/>
  <c r="V40" s="1"/>
  <c r="AL18"/>
  <c r="AL40" s="1"/>
  <c r="AB18"/>
  <c r="AB40" s="1"/>
  <c r="T18"/>
  <c r="T40" s="1"/>
  <c r="Z18"/>
  <c r="Z40" s="1"/>
  <c r="AJ18"/>
  <c r="AJ40" s="1"/>
  <c r="AA18"/>
  <c r="AA40" s="1"/>
  <c r="W18"/>
  <c r="W40" s="1"/>
  <c r="S18"/>
  <c r="S40" s="1"/>
  <c r="AP18"/>
  <c r="AP40" s="1"/>
  <c r="R18"/>
  <c r="AQ20"/>
  <c r="AQ42" s="1"/>
  <c r="AM20"/>
  <c r="AM42" s="1"/>
  <c r="AI20"/>
  <c r="AI42" s="1"/>
  <c r="AP20"/>
  <c r="AP42" s="1"/>
  <c r="AO20"/>
  <c r="AO42" s="1"/>
  <c r="AK20"/>
  <c r="AK42" s="1"/>
  <c r="AG20"/>
  <c r="AG42" s="1"/>
  <c r="AN20"/>
  <c r="AN42" s="1"/>
  <c r="AF20"/>
  <c r="AC20"/>
  <c r="AC42" s="1"/>
  <c r="Y20"/>
  <c r="Y42" s="1"/>
  <c r="U20"/>
  <c r="U42" s="1"/>
  <c r="T20"/>
  <c r="T42" s="1"/>
  <c r="AH20"/>
  <c r="AH42" s="1"/>
  <c r="Z20"/>
  <c r="Z42" s="1"/>
  <c r="R20"/>
  <c r="AL20"/>
  <c r="AL42" s="1"/>
  <c r="AB20"/>
  <c r="AB42" s="1"/>
  <c r="X20"/>
  <c r="X42" s="1"/>
  <c r="AJ20"/>
  <c r="AJ42" s="1"/>
  <c r="AA20"/>
  <c r="AA42" s="1"/>
  <c r="W20"/>
  <c r="W42" s="1"/>
  <c r="S20"/>
  <c r="S42" s="1"/>
  <c r="V20"/>
  <c r="V42" s="1"/>
  <c r="AQ17"/>
  <c r="AQ39" s="1"/>
  <c r="AM17"/>
  <c r="AM39" s="1"/>
  <c r="AI17"/>
  <c r="AI39" s="1"/>
  <c r="AO17"/>
  <c r="AO39" s="1"/>
  <c r="AK17"/>
  <c r="AK39" s="1"/>
  <c r="AG17"/>
  <c r="AG39" s="1"/>
  <c r="AJ17"/>
  <c r="AJ39" s="1"/>
  <c r="AC17"/>
  <c r="AC39" s="1"/>
  <c r="Y17"/>
  <c r="Y39" s="1"/>
  <c r="U17"/>
  <c r="U39" s="1"/>
  <c r="AB17"/>
  <c r="AB39" s="1"/>
  <c r="T17"/>
  <c r="T39" s="1"/>
  <c r="V17"/>
  <c r="V39" s="1"/>
  <c r="AP17"/>
  <c r="AP39" s="1"/>
  <c r="AH17"/>
  <c r="AH39" s="1"/>
  <c r="X17"/>
  <c r="X39" s="1"/>
  <c r="AL17"/>
  <c r="AL39" s="1"/>
  <c r="Z17"/>
  <c r="Z39" s="1"/>
  <c r="AN17"/>
  <c r="AN39" s="1"/>
  <c r="AF17"/>
  <c r="AA17"/>
  <c r="AA39" s="1"/>
  <c r="W17"/>
  <c r="W39" s="1"/>
  <c r="S17"/>
  <c r="S39" s="1"/>
  <c r="R17"/>
  <c r="AQ19"/>
  <c r="AQ41" s="1"/>
  <c r="AM19"/>
  <c r="AM41" s="1"/>
  <c r="AI19"/>
  <c r="AI41" s="1"/>
  <c r="AO19"/>
  <c r="AO41" s="1"/>
  <c r="AK19"/>
  <c r="AK41" s="1"/>
  <c r="AG19"/>
  <c r="AG41" s="1"/>
  <c r="AJ19"/>
  <c r="AJ41" s="1"/>
  <c r="AC19"/>
  <c r="AC41" s="1"/>
  <c r="Y19"/>
  <c r="Y41" s="1"/>
  <c r="U19"/>
  <c r="U41" s="1"/>
  <c r="T19"/>
  <c r="T41" s="1"/>
  <c r="V19"/>
  <c r="V41" s="1"/>
  <c r="AP19"/>
  <c r="AP41" s="1"/>
  <c r="AH19"/>
  <c r="AH41" s="1"/>
  <c r="AB19"/>
  <c r="AB41" s="1"/>
  <c r="X19"/>
  <c r="X41" s="1"/>
  <c r="Z19"/>
  <c r="Z41" s="1"/>
  <c r="AN19"/>
  <c r="AN41" s="1"/>
  <c r="AF19"/>
  <c r="AA19"/>
  <c r="AA41" s="1"/>
  <c r="W19"/>
  <c r="W41" s="1"/>
  <c r="S19"/>
  <c r="S41" s="1"/>
  <c r="AL19"/>
  <c r="AL41" s="1"/>
  <c r="R19"/>
  <c r="AQ16"/>
  <c r="AM16"/>
  <c r="AI16"/>
  <c r="AO16"/>
  <c r="AK16"/>
  <c r="AG16"/>
  <c r="AN16"/>
  <c r="AF16"/>
  <c r="AC16"/>
  <c r="Y16"/>
  <c r="U16"/>
  <c r="X16"/>
  <c r="AH16"/>
  <c r="V16"/>
  <c r="AL16"/>
  <c r="AB16"/>
  <c r="T16"/>
  <c r="Z16"/>
  <c r="AJ16"/>
  <c r="AA16"/>
  <c r="W16"/>
  <c r="S16"/>
  <c r="AP16"/>
  <c r="R16"/>
  <c r="I18" i="6"/>
  <c r="N17" i="4"/>
  <c r="N39" s="1"/>
  <c r="L17"/>
  <c r="L39" s="1"/>
  <c r="J17"/>
  <c r="J39" s="1"/>
  <c r="H17"/>
  <c r="H39" s="1"/>
  <c r="F17"/>
  <c r="F39" s="1"/>
  <c r="O17"/>
  <c r="O39" s="1"/>
  <c r="K17"/>
  <c r="K39" s="1"/>
  <c r="G17"/>
  <c r="G39" s="1"/>
  <c r="D17"/>
  <c r="M17"/>
  <c r="M39" s="1"/>
  <c r="E17"/>
  <c r="E39" s="1"/>
  <c r="I17"/>
  <c r="I39" s="1"/>
  <c r="N21"/>
  <c r="L21"/>
  <c r="J21"/>
  <c r="H21"/>
  <c r="F21"/>
  <c r="O21"/>
  <c r="K21"/>
  <c r="G21"/>
  <c r="D21"/>
  <c r="I21"/>
  <c r="M21"/>
  <c r="E21"/>
  <c r="O18"/>
  <c r="O40" s="1"/>
  <c r="M18"/>
  <c r="M40" s="1"/>
  <c r="K18"/>
  <c r="K40" s="1"/>
  <c r="I18"/>
  <c r="I40" s="1"/>
  <c r="G18"/>
  <c r="G40" s="1"/>
  <c r="E18"/>
  <c r="E40" s="1"/>
  <c r="L18"/>
  <c r="L40" s="1"/>
  <c r="H18"/>
  <c r="H40" s="1"/>
  <c r="J18"/>
  <c r="J40" s="1"/>
  <c r="D18"/>
  <c r="N18"/>
  <c r="N40" s="1"/>
  <c r="F18"/>
  <c r="F40" s="1"/>
  <c r="O22"/>
  <c r="M22"/>
  <c r="K22"/>
  <c r="I22"/>
  <c r="G22"/>
  <c r="E22"/>
  <c r="L22"/>
  <c r="H22"/>
  <c r="N22"/>
  <c r="F22"/>
  <c r="D22"/>
  <c r="D44" s="1"/>
  <c r="J22"/>
  <c r="N19"/>
  <c r="N41" s="1"/>
  <c r="L19"/>
  <c r="L41" s="1"/>
  <c r="J19"/>
  <c r="J41" s="1"/>
  <c r="H19"/>
  <c r="H41" s="1"/>
  <c r="F19"/>
  <c r="F41" s="1"/>
  <c r="M19"/>
  <c r="M41" s="1"/>
  <c r="I19"/>
  <c r="I41" s="1"/>
  <c r="E19"/>
  <c r="E41" s="1"/>
  <c r="D19"/>
  <c r="O19"/>
  <c r="O41" s="1"/>
  <c r="G19"/>
  <c r="G41" s="1"/>
  <c r="K19"/>
  <c r="K41" s="1"/>
  <c r="O15"/>
  <c r="M15"/>
  <c r="K15"/>
  <c r="I15"/>
  <c r="G15"/>
  <c r="E15"/>
  <c r="L15"/>
  <c r="H15"/>
  <c r="N15"/>
  <c r="J15"/>
  <c r="F15"/>
  <c r="O20"/>
  <c r="O42" s="1"/>
  <c r="M20"/>
  <c r="M42" s="1"/>
  <c r="K20"/>
  <c r="K42" s="1"/>
  <c r="I20"/>
  <c r="I42" s="1"/>
  <c r="G20"/>
  <c r="G42" s="1"/>
  <c r="E20"/>
  <c r="E42" s="1"/>
  <c r="N20"/>
  <c r="N42" s="1"/>
  <c r="J20"/>
  <c r="J42" s="1"/>
  <c r="F20"/>
  <c r="F42" s="1"/>
  <c r="L20"/>
  <c r="L42" s="1"/>
  <c r="H20"/>
  <c r="H42" s="1"/>
  <c r="D20"/>
  <c r="O16"/>
  <c r="O38" s="1"/>
  <c r="M16"/>
  <c r="M38" s="1"/>
  <c r="K16"/>
  <c r="K38" s="1"/>
  <c r="N16"/>
  <c r="N38" s="1"/>
  <c r="J16"/>
  <c r="J38" s="1"/>
  <c r="H16"/>
  <c r="H38" s="1"/>
  <c r="F16"/>
  <c r="F38" s="1"/>
  <c r="I16"/>
  <c r="I38" s="1"/>
  <c r="E16"/>
  <c r="E38" s="1"/>
  <c r="L16"/>
  <c r="L38" s="1"/>
  <c r="G16"/>
  <c r="G38" s="1"/>
  <c r="D16"/>
  <c r="Q82"/>
  <c r="AT82"/>
  <c r="E14" i="6"/>
  <c r="E15"/>
  <c r="E11"/>
  <c r="E16"/>
  <c r="E13"/>
  <c r="E17"/>
  <c r="K6" i="4"/>
  <c r="E12" i="6"/>
  <c r="R38" i="4" l="1"/>
  <c r="AD16"/>
  <c r="AE16" s="1"/>
  <c r="R23"/>
  <c r="AB38"/>
  <c r="AB45" s="1"/>
  <c r="AB55" s="1"/>
  <c r="AB23"/>
  <c r="AB33" s="1"/>
  <c r="AB80" s="1"/>
  <c r="AB96" s="1"/>
  <c r="AO38"/>
  <c r="AO45" s="1"/>
  <c r="AO55" s="1"/>
  <c r="AO23"/>
  <c r="AO33" s="1"/>
  <c r="AO80" s="1"/>
  <c r="AO96" s="1"/>
  <c r="R41"/>
  <c r="AD41" s="1"/>
  <c r="AE41" s="1"/>
  <c r="AD19"/>
  <c r="AE19" s="1"/>
  <c r="AF39"/>
  <c r="AR39" s="1"/>
  <c r="AS39" s="1"/>
  <c r="AR17"/>
  <c r="AS17" s="1"/>
  <c r="R42"/>
  <c r="AD42" s="1"/>
  <c r="AE42" s="1"/>
  <c r="AD20"/>
  <c r="AE20" s="1"/>
  <c r="R40"/>
  <c r="AD40" s="1"/>
  <c r="AE40" s="1"/>
  <c r="AD18"/>
  <c r="AE18" s="1"/>
  <c r="AP38"/>
  <c r="AP45" s="1"/>
  <c r="AP55" s="1"/>
  <c r="AP23"/>
  <c r="AP33" s="1"/>
  <c r="AP80" s="1"/>
  <c r="AP96" s="1"/>
  <c r="AJ38"/>
  <c r="AJ45" s="1"/>
  <c r="AJ55" s="1"/>
  <c r="AJ23"/>
  <c r="AJ33" s="1"/>
  <c r="AJ80" s="1"/>
  <c r="AJ96" s="1"/>
  <c r="AL38"/>
  <c r="AL45" s="1"/>
  <c r="AL55" s="1"/>
  <c r="AL23"/>
  <c r="AL33" s="1"/>
  <c r="AL80" s="1"/>
  <c r="AL96" s="1"/>
  <c r="U38"/>
  <c r="U45" s="1"/>
  <c r="U55" s="1"/>
  <c r="U23"/>
  <c r="U33" s="1"/>
  <c r="U80" s="1"/>
  <c r="U96" s="1"/>
  <c r="AN38"/>
  <c r="AN45" s="1"/>
  <c r="AN55" s="1"/>
  <c r="AN23"/>
  <c r="AN33" s="1"/>
  <c r="AN80" s="1"/>
  <c r="AN96" s="1"/>
  <c r="AI38"/>
  <c r="AI45" s="1"/>
  <c r="AI55" s="1"/>
  <c r="AI23"/>
  <c r="AI33" s="1"/>
  <c r="AI80" s="1"/>
  <c r="AI96" s="1"/>
  <c r="AF41"/>
  <c r="AR41" s="1"/>
  <c r="AS41" s="1"/>
  <c r="AR19"/>
  <c r="AS19" s="1"/>
  <c r="AF43"/>
  <c r="AR43" s="1"/>
  <c r="AS43" s="1"/>
  <c r="AR21"/>
  <c r="AS21" s="1"/>
  <c r="X38"/>
  <c r="X45" s="1"/>
  <c r="X55" s="1"/>
  <c r="X23"/>
  <c r="X33" s="1"/>
  <c r="X80" s="1"/>
  <c r="X96" s="1"/>
  <c r="R39"/>
  <c r="AD39" s="1"/>
  <c r="AE39" s="1"/>
  <c r="AD17"/>
  <c r="AE17" s="1"/>
  <c r="S38"/>
  <c r="S45" s="1"/>
  <c r="S55" s="1"/>
  <c r="S23"/>
  <c r="S33" s="1"/>
  <c r="S80" s="1"/>
  <c r="S96" s="1"/>
  <c r="Z38"/>
  <c r="Z45" s="1"/>
  <c r="Z55" s="1"/>
  <c r="Z23"/>
  <c r="Z33" s="1"/>
  <c r="Z80" s="1"/>
  <c r="Z96" s="1"/>
  <c r="V38"/>
  <c r="V45" s="1"/>
  <c r="V55" s="1"/>
  <c r="V23"/>
  <c r="V33" s="1"/>
  <c r="V80" s="1"/>
  <c r="V96" s="1"/>
  <c r="Y38"/>
  <c r="Y45" s="1"/>
  <c r="Y55" s="1"/>
  <c r="Y23"/>
  <c r="Y33" s="1"/>
  <c r="Y80" s="1"/>
  <c r="Y96" s="1"/>
  <c r="AG38"/>
  <c r="AG45" s="1"/>
  <c r="AG55" s="1"/>
  <c r="AG23"/>
  <c r="AG33" s="1"/>
  <c r="AG80" s="1"/>
  <c r="AG96" s="1"/>
  <c r="AM38"/>
  <c r="AM45" s="1"/>
  <c r="AM55" s="1"/>
  <c r="AM23"/>
  <c r="AM33" s="1"/>
  <c r="AM80" s="1"/>
  <c r="AM96" s="1"/>
  <c r="R43"/>
  <c r="AD43" s="1"/>
  <c r="AE43" s="1"/>
  <c r="AD21"/>
  <c r="AE21" s="1"/>
  <c r="AA38"/>
  <c r="AA45" s="1"/>
  <c r="AA55" s="1"/>
  <c r="AA23"/>
  <c r="AA33" s="1"/>
  <c r="AA80" s="1"/>
  <c r="AA96" s="1"/>
  <c r="AF38"/>
  <c r="AR16"/>
  <c r="AS16" s="1"/>
  <c r="AF23"/>
  <c r="AF40"/>
  <c r="AR40" s="1"/>
  <c r="AS40" s="1"/>
  <c r="AR18"/>
  <c r="AS18" s="1"/>
  <c r="D58" i="6"/>
  <c r="D80"/>
  <c r="D65"/>
  <c r="D81"/>
  <c r="D62"/>
  <c r="D60"/>
  <c r="D56"/>
  <c r="D82"/>
  <c r="D73"/>
  <c r="D64"/>
  <c r="D63"/>
  <c r="D78"/>
  <c r="D54"/>
  <c r="H67"/>
  <c r="D75"/>
  <c r="D76"/>
  <c r="D77"/>
  <c r="D74"/>
  <c r="D83"/>
  <c r="D84"/>
  <c r="D79"/>
  <c r="D72"/>
  <c r="D71"/>
  <c r="D70"/>
  <c r="W38" i="4"/>
  <c r="W45" s="1"/>
  <c r="W55" s="1"/>
  <c r="W23"/>
  <c r="W33" s="1"/>
  <c r="W80" s="1"/>
  <c r="W96" s="1"/>
  <c r="T38"/>
  <c r="T45" s="1"/>
  <c r="T55" s="1"/>
  <c r="T23"/>
  <c r="T33" s="1"/>
  <c r="T80" s="1"/>
  <c r="T96" s="1"/>
  <c r="AH38"/>
  <c r="AH45" s="1"/>
  <c r="AH55" s="1"/>
  <c r="AH23"/>
  <c r="AH33" s="1"/>
  <c r="AH80" s="1"/>
  <c r="AH96" s="1"/>
  <c r="AC38"/>
  <c r="AC45" s="1"/>
  <c r="AC55" s="1"/>
  <c r="AC23"/>
  <c r="AC33" s="1"/>
  <c r="AC80" s="1"/>
  <c r="AC96" s="1"/>
  <c r="AK38"/>
  <c r="AK45" s="1"/>
  <c r="AK55" s="1"/>
  <c r="AK23"/>
  <c r="AK33" s="1"/>
  <c r="AK80" s="1"/>
  <c r="AK96" s="1"/>
  <c r="AQ38"/>
  <c r="AQ45" s="1"/>
  <c r="AQ55" s="1"/>
  <c r="AQ23"/>
  <c r="AQ33" s="1"/>
  <c r="AQ80" s="1"/>
  <c r="AQ96" s="1"/>
  <c r="AF42"/>
  <c r="AR42" s="1"/>
  <c r="AS42" s="1"/>
  <c r="AR20"/>
  <c r="AS20" s="1"/>
  <c r="E23"/>
  <c r="E33" s="1"/>
  <c r="E80" s="1"/>
  <c r="E96" s="1"/>
  <c r="J23"/>
  <c r="J33" s="1"/>
  <c r="J80" s="1"/>
  <c r="J96" s="1"/>
  <c r="N23"/>
  <c r="N33" s="1"/>
  <c r="N80" s="1"/>
  <c r="N96" s="1"/>
  <c r="G23"/>
  <c r="G33" s="1"/>
  <c r="G80" s="1"/>
  <c r="G96" s="1"/>
  <c r="O23"/>
  <c r="O33" s="1"/>
  <c r="O80" s="1"/>
  <c r="O96" s="1"/>
  <c r="M23"/>
  <c r="M33" s="1"/>
  <c r="M80" s="1"/>
  <c r="M96" s="1"/>
  <c r="D23"/>
  <c r="H23"/>
  <c r="H33" s="1"/>
  <c r="H80" s="1"/>
  <c r="H96" s="1"/>
  <c r="I23"/>
  <c r="I33" s="1"/>
  <c r="I80" s="1"/>
  <c r="I96" s="1"/>
  <c r="F23"/>
  <c r="F33" s="1"/>
  <c r="F80" s="1"/>
  <c r="F96" s="1"/>
  <c r="L23"/>
  <c r="L33" s="1"/>
  <c r="L80" s="1"/>
  <c r="L96" s="1"/>
  <c r="K23"/>
  <c r="K33" s="1"/>
  <c r="K80" s="1"/>
  <c r="K96" s="1"/>
  <c r="E18" i="6"/>
  <c r="H68" s="1"/>
  <c r="D68" s="1"/>
  <c r="J44" i="4"/>
  <c r="F44"/>
  <c r="H44"/>
  <c r="G44"/>
  <c r="K44"/>
  <c r="O44"/>
  <c r="N44"/>
  <c r="L44"/>
  <c r="E44"/>
  <c r="I44"/>
  <c r="M44"/>
  <c r="P29"/>
  <c r="Q29" s="1"/>
  <c r="D40"/>
  <c r="P40" s="1"/>
  <c r="P18"/>
  <c r="P21"/>
  <c r="P27"/>
  <c r="P15"/>
  <c r="P26"/>
  <c r="P22"/>
  <c r="P28"/>
  <c r="D39"/>
  <c r="P39" s="1"/>
  <c r="P17"/>
  <c r="D38"/>
  <c r="P38" s="1"/>
  <c r="P16"/>
  <c r="D42"/>
  <c r="P42" s="1"/>
  <c r="P20"/>
  <c r="D41"/>
  <c r="P41" s="1"/>
  <c r="P19"/>
  <c r="E43"/>
  <c r="O43"/>
  <c r="I43"/>
  <c r="D43"/>
  <c r="L43"/>
  <c r="H43"/>
  <c r="E37"/>
  <c r="L37"/>
  <c r="N37"/>
  <c r="F37"/>
  <c r="M37"/>
  <c r="I37"/>
  <c r="M43"/>
  <c r="K43"/>
  <c r="G43"/>
  <c r="N43"/>
  <c r="J43"/>
  <c r="F43"/>
  <c r="H37"/>
  <c r="J37"/>
  <c r="O37"/>
  <c r="K37"/>
  <c r="G37"/>
  <c r="L6"/>
  <c r="A104"/>
  <c r="A37"/>
  <c r="A108"/>
  <c r="A105"/>
  <c r="A102"/>
  <c r="K45" l="1"/>
  <c r="K55" s="1"/>
  <c r="G45"/>
  <c r="G55" s="1"/>
  <c r="AD23"/>
  <c r="R33"/>
  <c r="R80" s="1"/>
  <c r="AR23"/>
  <c r="AF33"/>
  <c r="AF80" s="1"/>
  <c r="AR38"/>
  <c r="AS38" s="1"/>
  <c r="AF45"/>
  <c r="AD38"/>
  <c r="AE38" s="1"/>
  <c r="R45"/>
  <c r="N45"/>
  <c r="N55" s="1"/>
  <c r="H45"/>
  <c r="H55" s="1"/>
  <c r="M45"/>
  <c r="M55" s="1"/>
  <c r="E45"/>
  <c r="E55" s="1"/>
  <c r="F45"/>
  <c r="F55" s="1"/>
  <c r="O45"/>
  <c r="O55" s="1"/>
  <c r="J45"/>
  <c r="J55" s="1"/>
  <c r="I45"/>
  <c r="I55" s="1"/>
  <c r="L45"/>
  <c r="L55" s="1"/>
  <c r="D45"/>
  <c r="P23"/>
  <c r="P33" s="1"/>
  <c r="D33"/>
  <c r="D101" s="1"/>
  <c r="V102"/>
  <c r="H85" i="6"/>
  <c r="D88" s="1"/>
  <c r="S102" i="4"/>
  <c r="U102"/>
  <c r="AA102"/>
  <c r="AO102"/>
  <c r="AG102"/>
  <c r="AQ102"/>
  <c r="AI102"/>
  <c r="AH102"/>
  <c r="Y102"/>
  <c r="AB102"/>
  <c r="W102"/>
  <c r="X102"/>
  <c r="AK102"/>
  <c r="AJ102"/>
  <c r="AL102"/>
  <c r="AP102"/>
  <c r="AM102"/>
  <c r="AT29"/>
  <c r="AO101"/>
  <c r="AK101"/>
  <c r="AG101"/>
  <c r="AJ101"/>
  <c r="AP101"/>
  <c r="AL101"/>
  <c r="AQ101"/>
  <c r="AM101"/>
  <c r="AI101"/>
  <c r="AN101"/>
  <c r="AN102"/>
  <c r="AH101"/>
  <c r="AC102"/>
  <c r="T102"/>
  <c r="Z102"/>
  <c r="Q41"/>
  <c r="AT41"/>
  <c r="Q42"/>
  <c r="AT42"/>
  <c r="Q16"/>
  <c r="AT16"/>
  <c r="Q17"/>
  <c r="AT17"/>
  <c r="Q26"/>
  <c r="AT26"/>
  <c r="Q40"/>
  <c r="AT40"/>
  <c r="Q19"/>
  <c r="AT19"/>
  <c r="Q20"/>
  <c r="AT20"/>
  <c r="Q38"/>
  <c r="Q39"/>
  <c r="AT39"/>
  <c r="Q28"/>
  <c r="AT28"/>
  <c r="Q22"/>
  <c r="AT22"/>
  <c r="AT15"/>
  <c r="Q27"/>
  <c r="AT27"/>
  <c r="Q21"/>
  <c r="AT21"/>
  <c r="Q18"/>
  <c r="AT18"/>
  <c r="P75"/>
  <c r="Q15"/>
  <c r="P50"/>
  <c r="P44"/>
  <c r="P48"/>
  <c r="P37"/>
  <c r="P49"/>
  <c r="P43"/>
  <c r="P51"/>
  <c r="U101"/>
  <c r="Y101"/>
  <c r="AC101"/>
  <c r="T101"/>
  <c r="AB101"/>
  <c r="Z101"/>
  <c r="S101"/>
  <c r="W101"/>
  <c r="AA101"/>
  <c r="X101"/>
  <c r="V101"/>
  <c r="M6"/>
  <c r="J104"/>
  <c r="H104"/>
  <c r="F104"/>
  <c r="G104"/>
  <c r="K104"/>
  <c r="O104"/>
  <c r="E104"/>
  <c r="I104"/>
  <c r="M104"/>
  <c r="E57"/>
  <c r="D57"/>
  <c r="AF101" l="1"/>
  <c r="AR101" s="1"/>
  <c r="AS101" s="1"/>
  <c r="D80"/>
  <c r="D96" s="1"/>
  <c r="R101"/>
  <c r="AD101" s="1"/>
  <c r="AE101" s="1"/>
  <c r="AF55"/>
  <c r="AF102" s="1"/>
  <c r="AR45"/>
  <c r="AD80"/>
  <c r="R96"/>
  <c r="R105" s="1"/>
  <c r="AD33"/>
  <c r="AE23"/>
  <c r="AE33" s="1"/>
  <c r="AS23"/>
  <c r="AS33" s="1"/>
  <c r="AR33"/>
  <c r="AT38"/>
  <c r="AD45"/>
  <c r="R55"/>
  <c r="R102" s="1"/>
  <c r="AD102" s="1"/>
  <c r="AE102" s="1"/>
  <c r="AR80"/>
  <c r="AF96"/>
  <c r="D55"/>
  <c r="D102" s="1"/>
  <c r="P45"/>
  <c r="P81"/>
  <c r="Q81" s="1"/>
  <c r="Q23"/>
  <c r="Q33" s="1"/>
  <c r="AT23"/>
  <c r="AT33" s="1"/>
  <c r="D85" i="6"/>
  <c r="AH114" i="4"/>
  <c r="AN114"/>
  <c r="AM114"/>
  <c r="AL114"/>
  <c r="AJ114"/>
  <c r="AG105"/>
  <c r="AK114"/>
  <c r="AI103"/>
  <c r="AI113"/>
  <c r="AQ113"/>
  <c r="AQ103"/>
  <c r="AP113"/>
  <c r="AP103"/>
  <c r="AG103"/>
  <c r="AG113"/>
  <c r="AO103"/>
  <c r="AO113"/>
  <c r="AH103"/>
  <c r="AH113"/>
  <c r="AN113"/>
  <c r="AN103"/>
  <c r="AM103"/>
  <c r="AM113"/>
  <c r="AL103"/>
  <c r="AL113"/>
  <c r="AJ103"/>
  <c r="AJ113"/>
  <c r="AK103"/>
  <c r="AK113"/>
  <c r="Q75"/>
  <c r="AT75"/>
  <c r="Q51"/>
  <c r="AT51"/>
  <c r="Q49"/>
  <c r="AT49"/>
  <c r="Q48"/>
  <c r="AT48"/>
  <c r="Q50"/>
  <c r="AT50"/>
  <c r="Q43"/>
  <c r="AT43"/>
  <c r="Q37"/>
  <c r="AT37"/>
  <c r="Q44"/>
  <c r="AT44"/>
  <c r="P74"/>
  <c r="X114"/>
  <c r="AA114"/>
  <c r="S105"/>
  <c r="Z105"/>
  <c r="AB114"/>
  <c r="Y114"/>
  <c r="AA113"/>
  <c r="AA103"/>
  <c r="W103"/>
  <c r="W113"/>
  <c r="S103"/>
  <c r="S113"/>
  <c r="T113"/>
  <c r="T103"/>
  <c r="AC113"/>
  <c r="AC103"/>
  <c r="Y113"/>
  <c r="Y103"/>
  <c r="U113"/>
  <c r="U103"/>
  <c r="V103"/>
  <c r="V113"/>
  <c r="X113"/>
  <c r="X103"/>
  <c r="Z103"/>
  <c r="Z113"/>
  <c r="AB103"/>
  <c r="AB113"/>
  <c r="N6"/>
  <c r="F57"/>
  <c r="L104"/>
  <c r="N104"/>
  <c r="D123"/>
  <c r="D99"/>
  <c r="D111"/>
  <c r="D71"/>
  <c r="D35"/>
  <c r="D13"/>
  <c r="E111"/>
  <c r="E123"/>
  <c r="E99"/>
  <c r="E71"/>
  <c r="E13"/>
  <c r="E35"/>
  <c r="D114" l="1"/>
  <c r="R113"/>
  <c r="AD113" s="1"/>
  <c r="AE113" s="1"/>
  <c r="AF103"/>
  <c r="AR103" s="1"/>
  <c r="AS103" s="1"/>
  <c r="R103"/>
  <c r="R106" s="1"/>
  <c r="AR102"/>
  <c r="AS102" s="1"/>
  <c r="P80"/>
  <c r="Q80" s="1"/>
  <c r="AF113"/>
  <c r="AR113" s="1"/>
  <c r="AS113" s="1"/>
  <c r="AE80"/>
  <c r="AE96" s="1"/>
  <c r="AD96"/>
  <c r="AS80"/>
  <c r="AS96" s="1"/>
  <c r="AR96"/>
  <c r="AE45"/>
  <c r="AE55" s="1"/>
  <c r="AD55"/>
  <c r="AS45"/>
  <c r="AS55" s="1"/>
  <c r="AR55"/>
  <c r="AT81"/>
  <c r="Q45"/>
  <c r="Q55" s="1"/>
  <c r="AT45"/>
  <c r="AT55" s="1"/>
  <c r="P55"/>
  <c r="AM105"/>
  <c r="AM107" s="1"/>
  <c r="AH105"/>
  <c r="AH106" s="1"/>
  <c r="S107"/>
  <c r="AK105"/>
  <c r="AK106" s="1"/>
  <c r="AL105"/>
  <c r="AL107" s="1"/>
  <c r="AN105"/>
  <c r="AN106" s="1"/>
  <c r="AG114"/>
  <c r="AG115" s="1"/>
  <c r="AL115"/>
  <c r="AN115"/>
  <c r="AJ105"/>
  <c r="AJ107" s="1"/>
  <c r="AK115"/>
  <c r="AJ115"/>
  <c r="AM115"/>
  <c r="AT74"/>
  <c r="AG106"/>
  <c r="AO105"/>
  <c r="AO107" s="1"/>
  <c r="AO114"/>
  <c r="AO115" s="1"/>
  <c r="AQ114"/>
  <c r="AQ115" s="1"/>
  <c r="AQ105"/>
  <c r="AQ107" s="1"/>
  <c r="AF114"/>
  <c r="AF105"/>
  <c r="AP114"/>
  <c r="AP115" s="1"/>
  <c r="AP105"/>
  <c r="AP106" s="1"/>
  <c r="AI114"/>
  <c r="AI115" s="1"/>
  <c r="AI105"/>
  <c r="AI106" s="1"/>
  <c r="AG107"/>
  <c r="AH115"/>
  <c r="X105"/>
  <c r="X107" s="1"/>
  <c r="R114"/>
  <c r="Z107"/>
  <c r="Q74"/>
  <c r="AB105"/>
  <c r="AB107" s="1"/>
  <c r="AA105"/>
  <c r="AA107" s="1"/>
  <c r="Y105"/>
  <c r="Y107" s="1"/>
  <c r="Z114"/>
  <c r="Z115" s="1"/>
  <c r="S114"/>
  <c r="AB115"/>
  <c r="AA115"/>
  <c r="AC105"/>
  <c r="AC107" s="1"/>
  <c r="AC114"/>
  <c r="AC115" s="1"/>
  <c r="X115"/>
  <c r="U105"/>
  <c r="U106" s="1"/>
  <c r="U114"/>
  <c r="U115" s="1"/>
  <c r="T105"/>
  <c r="T106" s="1"/>
  <c r="T114"/>
  <c r="T115" s="1"/>
  <c r="W114"/>
  <c r="W115" s="1"/>
  <c r="W105"/>
  <c r="W106" s="1"/>
  <c r="Y115"/>
  <c r="Z106"/>
  <c r="S106"/>
  <c r="V105"/>
  <c r="V106" s="1"/>
  <c r="V114"/>
  <c r="V115" s="1"/>
  <c r="E101"/>
  <c r="E113" s="1"/>
  <c r="F101"/>
  <c r="F113" s="1"/>
  <c r="O6"/>
  <c r="G57"/>
  <c r="F123"/>
  <c r="F111"/>
  <c r="F99"/>
  <c r="F71"/>
  <c r="F35"/>
  <c r="F13"/>
  <c r="AD103" l="1"/>
  <c r="AE103" s="1"/>
  <c r="R115"/>
  <c r="AF106"/>
  <c r="R107"/>
  <c r="P96"/>
  <c r="AT96" s="1"/>
  <c r="AT80"/>
  <c r="AK107"/>
  <c r="Q96"/>
  <c r="AH107"/>
  <c r="AM106"/>
  <c r="AB106"/>
  <c r="AJ106"/>
  <c r="AN107"/>
  <c r="AL106"/>
  <c r="X106"/>
  <c r="AC106"/>
  <c r="AI107"/>
  <c r="AO106"/>
  <c r="AQ106"/>
  <c r="AP107"/>
  <c r="AR105"/>
  <c r="AS105" s="1"/>
  <c r="AF107"/>
  <c r="AF115"/>
  <c r="AR115" s="1"/>
  <c r="AS115" s="1"/>
  <c r="AR114"/>
  <c r="AS114" s="1"/>
  <c r="AD114"/>
  <c r="AE114" s="1"/>
  <c r="AD105"/>
  <c r="AE105" s="1"/>
  <c r="S115"/>
  <c r="AA106"/>
  <c r="Y106"/>
  <c r="U107"/>
  <c r="T107"/>
  <c r="W107"/>
  <c r="V107"/>
  <c r="R6"/>
  <c r="H57"/>
  <c r="D113"/>
  <c r="G111"/>
  <c r="G123"/>
  <c r="G99"/>
  <c r="G71"/>
  <c r="G13"/>
  <c r="G35"/>
  <c r="AD115" l="1"/>
  <c r="AE115" s="1"/>
  <c r="AR106"/>
  <c r="AS106" s="1"/>
  <c r="AR107"/>
  <c r="AS107" s="1"/>
  <c r="AD107"/>
  <c r="AE107" s="1"/>
  <c r="AD106"/>
  <c r="AE106" s="1"/>
  <c r="R123"/>
  <c r="R71"/>
  <c r="R35"/>
  <c r="R111"/>
  <c r="R99"/>
  <c r="R57"/>
  <c r="R13"/>
  <c r="S6"/>
  <c r="I57"/>
  <c r="E102"/>
  <c r="E103" s="1"/>
  <c r="F102"/>
  <c r="F103" s="1"/>
  <c r="D104"/>
  <c r="D116"/>
  <c r="P116" s="1"/>
  <c r="AT116" s="1"/>
  <c r="G101"/>
  <c r="H123"/>
  <c r="H99"/>
  <c r="H111"/>
  <c r="H71"/>
  <c r="H35"/>
  <c r="H13"/>
  <c r="G102"/>
  <c r="H101"/>
  <c r="G113" l="1"/>
  <c r="P104"/>
  <c r="AT104" s="1"/>
  <c r="D103"/>
  <c r="D117"/>
  <c r="S111"/>
  <c r="S99"/>
  <c r="S57"/>
  <c r="S13"/>
  <c r="S71"/>
  <c r="S35"/>
  <c r="S123"/>
  <c r="T6"/>
  <c r="O105"/>
  <c r="M105"/>
  <c r="K105"/>
  <c r="F105"/>
  <c r="F106" s="1"/>
  <c r="H105"/>
  <c r="I105"/>
  <c r="L105"/>
  <c r="E105"/>
  <c r="E106" s="1"/>
  <c r="N105"/>
  <c r="J105"/>
  <c r="G105"/>
  <c r="E114"/>
  <c r="G114"/>
  <c r="G115" s="1"/>
  <c r="F114"/>
  <c r="F115" s="1"/>
  <c r="G103"/>
  <c r="J57"/>
  <c r="H113"/>
  <c r="I111"/>
  <c r="I123"/>
  <c r="I99"/>
  <c r="I71"/>
  <c r="I13"/>
  <c r="I35"/>
  <c r="H102"/>
  <c r="H103" s="1"/>
  <c r="G107" l="1"/>
  <c r="E115"/>
  <c r="P117"/>
  <c r="AT117" s="1"/>
  <c r="F107"/>
  <c r="H107"/>
  <c r="E107"/>
  <c r="U6"/>
  <c r="T111"/>
  <c r="T99"/>
  <c r="T57"/>
  <c r="T13"/>
  <c r="T123"/>
  <c r="T71"/>
  <c r="T35"/>
  <c r="K57"/>
  <c r="H114"/>
  <c r="H115" s="1"/>
  <c r="H106"/>
  <c r="D115"/>
  <c r="D105"/>
  <c r="D106" s="1"/>
  <c r="G106"/>
  <c r="I101"/>
  <c r="J101"/>
  <c r="I102"/>
  <c r="I114"/>
  <c r="J123"/>
  <c r="J111"/>
  <c r="J99"/>
  <c r="J71"/>
  <c r="J35"/>
  <c r="J13"/>
  <c r="D107" l="1"/>
  <c r="P105"/>
  <c r="V6"/>
  <c r="U99"/>
  <c r="U13"/>
  <c r="U71"/>
  <c r="U123"/>
  <c r="U57"/>
  <c r="U111"/>
  <c r="U35"/>
  <c r="D119"/>
  <c r="E118" s="1"/>
  <c r="E119" s="1"/>
  <c r="F118" s="1"/>
  <c r="F119" s="1"/>
  <c r="D126"/>
  <c r="E126" s="1"/>
  <c r="F126" s="1"/>
  <c r="G126" s="1"/>
  <c r="H126" s="1"/>
  <c r="I103"/>
  <c r="I113"/>
  <c r="L57"/>
  <c r="J113"/>
  <c r="K101"/>
  <c r="K111"/>
  <c r="K123"/>
  <c r="K99"/>
  <c r="K71"/>
  <c r="K13"/>
  <c r="K35"/>
  <c r="J102"/>
  <c r="J103" s="1"/>
  <c r="J114"/>
  <c r="Q105" l="1"/>
  <c r="AT105"/>
  <c r="D108"/>
  <c r="I106"/>
  <c r="I107"/>
  <c r="J106"/>
  <c r="J107"/>
  <c r="V123"/>
  <c r="V111"/>
  <c r="V57"/>
  <c r="V99"/>
  <c r="V13"/>
  <c r="V35"/>
  <c r="V71"/>
  <c r="W6"/>
  <c r="M57"/>
  <c r="I115"/>
  <c r="J115"/>
  <c r="K102"/>
  <c r="K114"/>
  <c r="L123"/>
  <c r="L99"/>
  <c r="L111"/>
  <c r="L71"/>
  <c r="L35"/>
  <c r="L13"/>
  <c r="K113"/>
  <c r="G118"/>
  <c r="G119" s="1"/>
  <c r="L101"/>
  <c r="E108" l="1"/>
  <c r="F108" s="1"/>
  <c r="F133" s="1"/>
  <c r="D133"/>
  <c r="K103"/>
  <c r="K106" s="1"/>
  <c r="X6"/>
  <c r="W99"/>
  <c r="W57"/>
  <c r="W13"/>
  <c r="W123"/>
  <c r="W71"/>
  <c r="W35"/>
  <c r="W111"/>
  <c r="I126"/>
  <c r="J126" s="1"/>
  <c r="K115"/>
  <c r="N57"/>
  <c r="L113"/>
  <c r="H118"/>
  <c r="H119" s="1"/>
  <c r="M101"/>
  <c r="M111"/>
  <c r="M123"/>
  <c r="M99"/>
  <c r="M71"/>
  <c r="M13"/>
  <c r="M35"/>
  <c r="L102"/>
  <c r="L103" s="1"/>
  <c r="L114"/>
  <c r="E133" l="1"/>
  <c r="K107"/>
  <c r="G108"/>
  <c r="G133" s="1"/>
  <c r="L106"/>
  <c r="L107"/>
  <c r="X111"/>
  <c r="X99"/>
  <c r="X57"/>
  <c r="X13"/>
  <c r="X123"/>
  <c r="X71"/>
  <c r="X35"/>
  <c r="Y6"/>
  <c r="K126"/>
  <c r="L115"/>
  <c r="M102"/>
  <c r="M103" s="1"/>
  <c r="M114"/>
  <c r="N123"/>
  <c r="N111"/>
  <c r="N99"/>
  <c r="N71"/>
  <c r="N35"/>
  <c r="N13"/>
  <c r="M113"/>
  <c r="I118"/>
  <c r="I119" s="1"/>
  <c r="N101"/>
  <c r="O57"/>
  <c r="H108" l="1"/>
  <c r="H133" s="1"/>
  <c r="M106"/>
  <c r="M107"/>
  <c r="Z6"/>
  <c r="Y123"/>
  <c r="Y99"/>
  <c r="Y57"/>
  <c r="Y13"/>
  <c r="Y111"/>
  <c r="Y71"/>
  <c r="Y35"/>
  <c r="M115"/>
  <c r="L126"/>
  <c r="N113"/>
  <c r="J118"/>
  <c r="J119" s="1"/>
  <c r="O111"/>
  <c r="O123"/>
  <c r="O99"/>
  <c r="O71"/>
  <c r="O13"/>
  <c r="O35"/>
  <c r="N102"/>
  <c r="N103" s="1"/>
  <c r="N114"/>
  <c r="I108" l="1"/>
  <c r="I133" s="1"/>
  <c r="N106"/>
  <c r="N107"/>
  <c r="Z123"/>
  <c r="Z71"/>
  <c r="Z35"/>
  <c r="Z111"/>
  <c r="Z99"/>
  <c r="Z57"/>
  <c r="Z13"/>
  <c r="AA6"/>
  <c r="M126"/>
  <c r="O101"/>
  <c r="N115"/>
  <c r="K118"/>
  <c r="K119" s="1"/>
  <c r="O102"/>
  <c r="P102" s="1"/>
  <c r="O114"/>
  <c r="J108" l="1"/>
  <c r="J133" s="1"/>
  <c r="Q102"/>
  <c r="AT102"/>
  <c r="P114"/>
  <c r="P101"/>
  <c r="AB6"/>
  <c r="AA123"/>
  <c r="AA71"/>
  <c r="AA35"/>
  <c r="AA111"/>
  <c r="AA99"/>
  <c r="AA57"/>
  <c r="AA13"/>
  <c r="N126"/>
  <c r="O113"/>
  <c r="O103"/>
  <c r="P103" s="1"/>
  <c r="L118"/>
  <c r="L119" s="1"/>
  <c r="K108" l="1"/>
  <c r="K133" s="1"/>
  <c r="Q103"/>
  <c r="AT103"/>
  <c r="Q101"/>
  <c r="AT101"/>
  <c r="Q114"/>
  <c r="AT114"/>
  <c r="P113"/>
  <c r="O115"/>
  <c r="P115" s="1"/>
  <c r="AC6"/>
  <c r="AC111" s="1"/>
  <c r="O106"/>
  <c r="P106" s="1"/>
  <c r="O107"/>
  <c r="P107" s="1"/>
  <c r="Q107" s="1"/>
  <c r="AB111"/>
  <c r="AB99"/>
  <c r="AB57"/>
  <c r="AB13"/>
  <c r="AB123"/>
  <c r="AB71"/>
  <c r="AB35"/>
  <c r="M118"/>
  <c r="M119" s="1"/>
  <c r="L108" l="1"/>
  <c r="L133" s="1"/>
  <c r="O126"/>
  <c r="R126" s="1"/>
  <c r="S126" s="1"/>
  <c r="T126" s="1"/>
  <c r="U126" s="1"/>
  <c r="V126" s="1"/>
  <c r="W126" s="1"/>
  <c r="X126" s="1"/>
  <c r="Y126" s="1"/>
  <c r="Z126" s="1"/>
  <c r="AA126" s="1"/>
  <c r="AB126" s="1"/>
  <c r="AC126" s="1"/>
  <c r="AF126" s="1"/>
  <c r="AG126" s="1"/>
  <c r="AH126" s="1"/>
  <c r="AI126" s="1"/>
  <c r="AJ126" s="1"/>
  <c r="AK126" s="1"/>
  <c r="AL126" s="1"/>
  <c r="AM126" s="1"/>
  <c r="AN126" s="1"/>
  <c r="AO126" s="1"/>
  <c r="AP126" s="1"/>
  <c r="AQ126" s="1"/>
  <c r="Q115"/>
  <c r="AT115"/>
  <c r="Q106"/>
  <c r="AT106"/>
  <c r="Q113"/>
  <c r="AT113"/>
  <c r="AC123"/>
  <c r="AC57"/>
  <c r="AC71"/>
  <c r="AC13"/>
  <c r="AC99"/>
  <c r="AC35"/>
  <c r="AF6"/>
  <c r="N118"/>
  <c r="N119" s="1"/>
  <c r="M108" l="1"/>
  <c r="M133" s="1"/>
  <c r="B128"/>
  <c r="B129" s="1"/>
  <c r="AG6"/>
  <c r="AF111"/>
  <c r="AF123"/>
  <c r="AF71"/>
  <c r="AF35"/>
  <c r="AF13"/>
  <c r="AF99"/>
  <c r="AF57"/>
  <c r="O118"/>
  <c r="O119" s="1"/>
  <c r="N108" l="1"/>
  <c r="N133" s="1"/>
  <c r="P119"/>
  <c r="R118"/>
  <c r="AG123"/>
  <c r="AG111"/>
  <c r="AG99"/>
  <c r="AG71"/>
  <c r="AG57"/>
  <c r="AG35"/>
  <c r="AG13"/>
  <c r="AH6"/>
  <c r="O108" l="1"/>
  <c r="P108" s="1"/>
  <c r="AD118"/>
  <c r="R119"/>
  <c r="S118" s="1"/>
  <c r="S119" s="1"/>
  <c r="T118" s="1"/>
  <c r="T119" s="1"/>
  <c r="U118" s="1"/>
  <c r="U119" s="1"/>
  <c r="V118" s="1"/>
  <c r="V119" s="1"/>
  <c r="W118" s="1"/>
  <c r="W119" s="1"/>
  <c r="X118" s="1"/>
  <c r="X119" s="1"/>
  <c r="Y118" s="1"/>
  <c r="Y119" s="1"/>
  <c r="Z118" s="1"/>
  <c r="Z119" s="1"/>
  <c r="AA118" s="1"/>
  <c r="AA119" s="1"/>
  <c r="AB118" s="1"/>
  <c r="AB119" s="1"/>
  <c r="AC118" s="1"/>
  <c r="AC119" s="1"/>
  <c r="AI6"/>
  <c r="AH111"/>
  <c r="AH123"/>
  <c r="AH99"/>
  <c r="AH71"/>
  <c r="AH57"/>
  <c r="AH35"/>
  <c r="AH13"/>
  <c r="O133" l="1"/>
  <c r="R108"/>
  <c r="S108" s="1"/>
  <c r="AD119"/>
  <c r="AF118"/>
  <c r="AI123"/>
  <c r="AI99"/>
  <c r="AI71"/>
  <c r="AI57"/>
  <c r="AI111"/>
  <c r="AI35"/>
  <c r="AI13"/>
  <c r="AJ6"/>
  <c r="R133" l="1"/>
  <c r="AR118"/>
  <c r="AF119"/>
  <c r="AG118" s="1"/>
  <c r="AG119" s="1"/>
  <c r="AH118" s="1"/>
  <c r="AH119" s="1"/>
  <c r="AI118" s="1"/>
  <c r="AI119" s="1"/>
  <c r="AJ118" s="1"/>
  <c r="AJ119" s="1"/>
  <c r="AK118" s="1"/>
  <c r="AK119" s="1"/>
  <c r="AL118" s="1"/>
  <c r="AL119" s="1"/>
  <c r="AM118" s="1"/>
  <c r="AM119" s="1"/>
  <c r="AN118" s="1"/>
  <c r="AN119" s="1"/>
  <c r="AO118" s="1"/>
  <c r="AO119" s="1"/>
  <c r="AP118" s="1"/>
  <c r="AP119" s="1"/>
  <c r="AQ118" s="1"/>
  <c r="AQ119" s="1"/>
  <c r="AR119" s="1"/>
  <c r="AT119" s="1"/>
  <c r="AJ111"/>
  <c r="AJ123"/>
  <c r="AJ99"/>
  <c r="AJ57"/>
  <c r="AJ35"/>
  <c r="AJ13"/>
  <c r="AJ71"/>
  <c r="T108"/>
  <c r="S133"/>
  <c r="AK6"/>
  <c r="AL6" l="1"/>
  <c r="U108"/>
  <c r="T133"/>
  <c r="AK123"/>
  <c r="AK111"/>
  <c r="AK99"/>
  <c r="AK71"/>
  <c r="AK57"/>
  <c r="AK35"/>
  <c r="AK13"/>
  <c r="AM6" l="1"/>
  <c r="V108"/>
  <c r="U133"/>
  <c r="AL111"/>
  <c r="AL123"/>
  <c r="AL99"/>
  <c r="AL71"/>
  <c r="AL57"/>
  <c r="AL35"/>
  <c r="AL13"/>
  <c r="AM123" l="1"/>
  <c r="AM99"/>
  <c r="AM71"/>
  <c r="AM57"/>
  <c r="AM111"/>
  <c r="AM35"/>
  <c r="AM13"/>
  <c r="W108"/>
  <c r="V133"/>
  <c r="AN6"/>
  <c r="AN111" l="1"/>
  <c r="AN71"/>
  <c r="AN35"/>
  <c r="AN13"/>
  <c r="AN123"/>
  <c r="AN99"/>
  <c r="AN57"/>
  <c r="X108"/>
  <c r="W133"/>
  <c r="AO6"/>
  <c r="AP6" l="1"/>
  <c r="AQ6"/>
  <c r="Y108"/>
  <c r="X133"/>
  <c r="AO123"/>
  <c r="AO111"/>
  <c r="AO99"/>
  <c r="AO71"/>
  <c r="AO57"/>
  <c r="AO35"/>
  <c r="AO13"/>
  <c r="AQ123" l="1"/>
  <c r="AQ99"/>
  <c r="AQ71"/>
  <c r="AQ57"/>
  <c r="AQ111"/>
  <c r="AQ35"/>
  <c r="AQ13"/>
  <c r="Z108"/>
  <c r="Y133"/>
  <c r="AP111"/>
  <c r="AP123"/>
  <c r="AP99"/>
  <c r="AP71"/>
  <c r="AP57"/>
  <c r="AP35"/>
  <c r="AP13"/>
  <c r="AA108" l="1"/>
  <c r="Z133"/>
  <c r="AB108" l="1"/>
  <c r="AA133"/>
  <c r="AC108" l="1"/>
  <c r="AD108" s="1"/>
  <c r="AB133"/>
  <c r="AC133" l="1"/>
  <c r="AF108"/>
  <c r="AF133" l="1"/>
  <c r="AG108"/>
  <c r="AG133" l="1"/>
  <c r="AH108"/>
  <c r="AH133" l="1"/>
  <c r="AI108"/>
  <c r="AI133" l="1"/>
  <c r="AJ108"/>
  <c r="AJ133" l="1"/>
  <c r="AK108"/>
  <c r="AK133" l="1"/>
  <c r="AL108"/>
  <c r="AL133" l="1"/>
  <c r="AM108"/>
  <c r="AM133" l="1"/>
  <c r="AN108"/>
  <c r="AN133" l="1"/>
  <c r="AO108"/>
  <c r="AO133" l="1"/>
  <c r="AP108"/>
  <c r="AP133" l="1"/>
  <c r="AQ108"/>
  <c r="AQ133" l="1"/>
  <c r="AT133" s="1"/>
  <c r="B130" s="1"/>
  <c r="E2" s="1"/>
  <c r="AR108"/>
  <c r="D90" i="6" l="1"/>
</calcChain>
</file>

<file path=xl/sharedStrings.xml><?xml version="1.0" encoding="utf-8"?>
<sst xmlns="http://schemas.openxmlformats.org/spreadsheetml/2006/main" count="440" uniqueCount="207">
  <si>
    <t>Формат торговой точки</t>
  </si>
  <si>
    <t>Площадь, кв. м</t>
  </si>
  <si>
    <t>Меню</t>
  </si>
  <si>
    <t>Десерты</t>
  </si>
  <si>
    <t>Итого:</t>
  </si>
  <si>
    <t>Инвестиции в открытие заведения</t>
  </si>
  <si>
    <t>Текущие затраты</t>
  </si>
  <si>
    <t>Удельный вес в объеме выручки</t>
  </si>
  <si>
    <t>Аренда</t>
  </si>
  <si>
    <t>Коммунальные платежи</t>
  </si>
  <si>
    <t>Продукты</t>
  </si>
  <si>
    <t>Прочее</t>
  </si>
  <si>
    <t>Итого</t>
  </si>
  <si>
    <t>Окупаемость инвестиций</t>
  </si>
  <si>
    <t>мес.</t>
  </si>
  <si>
    <t>Сумма затрат в месяц</t>
  </si>
  <si>
    <t>Изменения можно вносить только в ячейки, окрашенные в серый цвет</t>
  </si>
  <si>
    <t>Роялти</t>
  </si>
  <si>
    <t>Рост зарплат</t>
  </si>
  <si>
    <t>ЗАГРУЗКА</t>
  </si>
  <si>
    <t>ДИНАМИКА ПРОДАЖ</t>
  </si>
  <si>
    <t>ДИНАМИКА СЕБЕСТОИМОСТИ</t>
  </si>
  <si>
    <t>ТЕКУЩИЕ ЗАТРАТЫ</t>
  </si>
  <si>
    <t>ИТОГО</t>
  </si>
  <si>
    <t>ОТЧЕТ О ПРИБЫЛЯХ И УБЫТКАХ</t>
  </si>
  <si>
    <t>Выручка</t>
  </si>
  <si>
    <t>Валовая прибыль</t>
  </si>
  <si>
    <t>ДВИЖЕНИЕ ДЕНЕЖНЫХ СРЕДСТВ (КЭШ-ФЛО)</t>
  </si>
  <si>
    <t>Поступления от основной деятельности</t>
  </si>
  <si>
    <t>Кэш-фло от оперативной деятельности</t>
  </si>
  <si>
    <t>Кэш-фло от инвестиционной деятельности</t>
  </si>
  <si>
    <t>Кэш-фло от финансовой деятельности</t>
  </si>
  <si>
    <t>Баланс наличности на начало периода</t>
  </si>
  <si>
    <t>Баланс наличности на конец периода</t>
  </si>
  <si>
    <t>ОКУПАЕМОСТЬ ПРОЕКТА</t>
  </si>
  <si>
    <t>Коэффициент дисконтирования</t>
  </si>
  <si>
    <t>Индекс прибыльности проекта (PI)</t>
  </si>
  <si>
    <t>Инвестиции</t>
  </si>
  <si>
    <t>Паушальный взнос</t>
  </si>
  <si>
    <t>Исходные данные</t>
  </si>
  <si>
    <t>Количество посетителей в день, чел.</t>
  </si>
  <si>
    <t>в том числе площадь торгового зала, кв.м.</t>
  </si>
  <si>
    <t>Проходимость места, чел./ день</t>
  </si>
  <si>
    <t>Удельный вес посетителей в проходимости, %</t>
  </si>
  <si>
    <t>Удельный вес в объеме продаж, %</t>
  </si>
  <si>
    <t>Наценка для группы, %</t>
  </si>
  <si>
    <t>-</t>
  </si>
  <si>
    <t>Удельный вес группы в объеме продаж, %</t>
  </si>
  <si>
    <t>Площадь помещения, кв.м</t>
  </si>
  <si>
    <t>Рекламная кампания</t>
  </si>
  <si>
    <t>Компьютеры, п/о</t>
  </si>
  <si>
    <t>Сервисное техобслуживание техники и оборудования</t>
  </si>
  <si>
    <t>Охрана объекта</t>
  </si>
  <si>
    <t>Услуги связи</t>
  </si>
  <si>
    <t>Налоги, патенты, лицензии</t>
  </si>
  <si>
    <t>Хозяйственные нужды (моющие средства, МБП, т.п.)</t>
  </si>
  <si>
    <t>Зарплата бухгалтера</t>
  </si>
  <si>
    <t>Месяц, с которого начинается работа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</si>
  <si>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</si>
  <si>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</si>
  <si>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</si>
  <si>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</si>
  <si>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</si>
  <si>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</si>
  <si>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</si>
  <si>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</si>
  <si>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</si>
  <si>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</si>
  <si>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</si>
  <si>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</si>
  <si>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1-й год работы</t>
  </si>
  <si>
    <t>2-й год работы</t>
  </si>
  <si>
    <t>Выход продаж на плановые показатели и дальнейший рост объемов продаж.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</si>
  <si>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 xml:space="preserve">(убыток) </t>
    </r>
    <r>
      <rPr>
        <b/>
        <sz val="8"/>
        <rFont val="Arial Cyr"/>
        <charset val="204"/>
      </rPr>
      <t>с учетом инвестиций</t>
    </r>
  </si>
  <si>
    <t>прибыль</t>
  </si>
  <si>
    <t>3-й год работы</t>
  </si>
  <si>
    <t>Итого за 1-й год</t>
  </si>
  <si>
    <t>Среднемесячно за 1-й год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</si>
  <si>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>(убыток)</t>
    </r>
    <r>
      <rPr>
        <b/>
        <sz val="8"/>
        <rFont val="Arial Cyr"/>
        <charset val="204"/>
      </rPr>
      <t xml:space="preserve"> без учета инвестиций</t>
    </r>
  </si>
  <si>
    <t>Среднемесячно за 2-й год</t>
  </si>
  <si>
    <t>Итого за 2-й год</t>
  </si>
  <si>
    <t>Итого за 3-й год</t>
  </si>
  <si>
    <t>Среднемесячно за 3-й год</t>
  </si>
  <si>
    <t>Итого за три года</t>
  </si>
  <si>
    <t>Количество кв.м для 1 посадочного места</t>
  </si>
  <si>
    <t>Количество посадочных мест</t>
  </si>
  <si>
    <t>Оборачиваемость одного места</t>
  </si>
  <si>
    <t>Ремонт помещения (инвестиции на 1 кв. м)</t>
  </si>
  <si>
    <t>Офисная техника</t>
  </si>
  <si>
    <t>Аренда (стоимость 1 кв. м)</t>
  </si>
  <si>
    <t>Видеонаблюдение</t>
  </si>
  <si>
    <t>Мебель</t>
  </si>
  <si>
    <t>Пицца</t>
  </si>
  <si>
    <t>Мебель (инвестиции на 1 посадочное место)</t>
  </si>
  <si>
    <t>Мебель (общие инвестиции)</t>
  </si>
  <si>
    <t>Ремонт помещения</t>
  </si>
  <si>
    <t>Местная реклама (буклеты, печатная продукция и т.д.)</t>
  </si>
  <si>
    <t>Срок окупаемости проекта, мес.:</t>
  </si>
  <si>
    <t>Зарплата  поваров</t>
  </si>
  <si>
    <t>Исходные данные для финансовой модели франшизы "Макбургерс"</t>
  </si>
  <si>
    <t>1. Для формата"Кафе"</t>
  </si>
  <si>
    <t>2. Для формата "Фут-корт"</t>
  </si>
  <si>
    <t>3. Для формата "Киоск"</t>
  </si>
  <si>
    <t>Средний чек, руб. в день</t>
  </si>
  <si>
    <t>руб./ кв.м.</t>
  </si>
  <si>
    <t>руб.</t>
  </si>
  <si>
    <t>Cost (себестоимость группы) в месяц, руб.</t>
  </si>
  <si>
    <t>Выручка группы в месяц, руб.</t>
  </si>
  <si>
    <t>Инвестиции на 1 кв. м, руб.</t>
  </si>
  <si>
    <t>Стоимость 1 кв. м, руб.</t>
  </si>
  <si>
    <t>Чистый денежный поток (NCF), руб.</t>
  </si>
  <si>
    <t>Чистая приведенная стоимость (NPV) на конец 3-го года, руб.</t>
  </si>
  <si>
    <t>Финансовая модель франшизы "Макбургерс"</t>
  </si>
  <si>
    <t>Кафе</t>
  </si>
  <si>
    <t>Фут-корт</t>
  </si>
  <si>
    <t>Киоск</t>
  </si>
  <si>
    <t>для формата Кафе</t>
  </si>
  <si>
    <t>для формата Фут-корт</t>
  </si>
  <si>
    <t>для формата Киоск</t>
  </si>
  <si>
    <t>Сэндвичи</t>
  </si>
  <si>
    <t>Напитки</t>
  </si>
  <si>
    <t>Гарниры/Фри</t>
  </si>
  <si>
    <t>Паста</t>
  </si>
  <si>
    <t>руб./ 1 место</t>
  </si>
  <si>
    <t>в том числе:</t>
  </si>
  <si>
    <t xml:space="preserve"> - электрика, дизайнер, сантехника, работа строителей
(инвестиции на всю площадь)</t>
  </si>
  <si>
    <t xml:space="preserve"> - материалы для строительства (плитка, двери, клей, панели)
(инвестиции на всю площадь)</t>
  </si>
  <si>
    <t>Оборудование</t>
  </si>
  <si>
    <t>часов в неделю</t>
  </si>
  <si>
    <t>чел.</t>
  </si>
  <si>
    <t>Персонал</t>
  </si>
  <si>
    <t>Количество персонала</t>
  </si>
  <si>
    <t>Повар</t>
  </si>
  <si>
    <t>Бармен и/или бармен-кассир</t>
  </si>
  <si>
    <t>Уборщица</t>
  </si>
  <si>
    <t>Менеджер</t>
  </si>
  <si>
    <t>Снабженец</t>
  </si>
  <si>
    <t>Бухгалтер</t>
  </si>
  <si>
    <t>Общее количество персонала</t>
  </si>
  <si>
    <t>Зарплата персонала</t>
  </si>
  <si>
    <t>Общая зарплата персонала в месяц</t>
  </si>
  <si>
    <t>Упаковка</t>
  </si>
  <si>
    <t>Транспортные расходы, доставка</t>
  </si>
  <si>
    <t>Обновление униформы персонала (1 раз в год)</t>
  </si>
  <si>
    <t>руб./год</t>
  </si>
  <si>
    <t>руб./мес.</t>
  </si>
  <si>
    <t>%/мес.</t>
  </si>
  <si>
    <t>Порчи, списания</t>
  </si>
  <si>
    <t>руб./час.</t>
  </si>
  <si>
    <t>4. Показатели в зависимости от формата</t>
  </si>
  <si>
    <t>Количество отработанных часов в месяц</t>
  </si>
  <si>
    <t>Зарплата барменов</t>
  </si>
  <si>
    <t>Зарплата официантов</t>
  </si>
  <si>
    <t>Зарплата уборщицы</t>
  </si>
  <si>
    <t>Зарплата снабженца</t>
  </si>
  <si>
    <t>Зарплата менеджера</t>
  </si>
  <si>
    <t>Официант</t>
  </si>
  <si>
    <t>Менеджер, в месяц</t>
  </si>
  <si>
    <t xml:space="preserve">Бармен и/или бармен-кассир (сумма за 1 час работы) </t>
  </si>
  <si>
    <t>Официант (сумма за 1 час работы)</t>
  </si>
  <si>
    <t>Повар (сумма за 1 час работы)</t>
  </si>
  <si>
    <t>Уборщица, в месяц</t>
  </si>
  <si>
    <t>Снабженец, в месяц</t>
  </si>
  <si>
    <t>Бухгалтер, в месяц</t>
  </si>
  <si>
    <t>Количество рабочих часов в неделю для барменов, официантов и поваров</t>
  </si>
  <si>
    <r>
      <t xml:space="preserve">Обновление униформы персонала </t>
    </r>
    <r>
      <rPr>
        <b/>
        <sz val="14"/>
        <color theme="6" tint="-0.499984740745262"/>
        <rFont val="Calibri"/>
        <family val="2"/>
        <charset val="204"/>
        <scheme val="minor"/>
      </rPr>
      <t>(из расчета на месяц)</t>
    </r>
  </si>
  <si>
    <t>Ассортимент услуг доставки (только для формата "Кафе")</t>
  </si>
  <si>
    <t>Итого продажи в торговой точке</t>
  </si>
  <si>
    <t>Продажи в торговой точке</t>
  </si>
  <si>
    <t>Ассортимент торговой точки (продажи в торговой точке)</t>
  </si>
  <si>
    <t>Продажи с помощью услуги доставки</t>
  </si>
  <si>
    <t>Итого продажи с помощью услуги доставки</t>
  </si>
  <si>
    <t>ИТОГО ПОДАЖИ</t>
  </si>
  <si>
    <t>Себестоимость продаж в торговой точке</t>
  </si>
  <si>
    <t>Себестоимость продаж с помощью услуги доставки</t>
  </si>
  <si>
    <t>Итого себестоимость продаж в торговой точке</t>
  </si>
  <si>
    <t>ИТОГО СЕБЕСТОИМОСТЬ</t>
  </si>
  <si>
    <t>Итого себестоимость продаж с помощью услуги доставки</t>
  </si>
  <si>
    <t>Рост цен на реализуемый товар (продукцию)</t>
  </si>
  <si>
    <t>Обновление униформы персонала (раз в год)</t>
  </si>
  <si>
    <t>Услуги производственного контроля (1 раз в год)</t>
  </si>
  <si>
    <t>Услуги производственного контроля (из расчета на месяц)</t>
  </si>
  <si>
    <t>Дезинсекция, дератизация (из расчета на месяц)</t>
  </si>
  <si>
    <t>Услуги производственного контроля (раз в год)</t>
  </si>
  <si>
    <t>Дезинсекция, дератизация (раз в полгода)</t>
  </si>
  <si>
    <t>Среднемесячная чистая прибыль</t>
  </si>
  <si>
    <t>Дополнительным доходом для формата "Кафе"  является доставка.
Размер дополнительного дохода составляет указанное количество процентов плюс к доходу кафе.</t>
  </si>
  <si>
    <t>Автоматизация (моноблоки, программа)</t>
  </si>
  <si>
    <t>Вентиляция (приточно-вытяжная)</t>
  </si>
  <si>
    <t>Дезинсекция, дератизация (ежемесячно)</t>
  </si>
  <si>
    <t>Интернет,телефон</t>
  </si>
  <si>
    <t>Бургеры, Сэндвичи</t>
  </si>
  <si>
    <t>Хот-доги, Роллы</t>
  </si>
  <si>
    <t>Наборы, сеты</t>
  </si>
  <si>
    <t>Пиво</t>
  </si>
  <si>
    <t>Салаты, Сопут. товар</t>
  </si>
  <si>
    <t>Напитки холодные</t>
  </si>
  <si>
    <t>Напитки горячие</t>
  </si>
  <si>
    <t>Хот-доги, роллы</t>
  </si>
  <si>
    <t>Количество чеков в день</t>
  </si>
  <si>
    <t xml:space="preserve">Напитки </t>
  </si>
  <si>
    <t>Вентиляция, сигнализация</t>
  </si>
  <si>
    <t>Рекламный бюджет  (печатная продукция, SMM, приложение)</t>
  </si>
  <si>
    <t>кол-во чеков, ед/день</t>
  </si>
  <si>
    <t>сезонность</t>
  </si>
  <si>
    <t>план продаж чеков, ед/год</t>
  </si>
  <si>
    <t>отклонение от среднего плана продаж, %</t>
  </si>
</sst>
</file>

<file path=xl/styles.xml><?xml version="1.0" encoding="utf-8"?>
<styleSheet xmlns="http://schemas.openxmlformats.org/spreadsheetml/2006/main">
  <numFmts count="7">
    <numFmt numFmtId="164" formatCode="_-* #,##0.00_р_._-;\-* #,##0.00_р_._-;_-* &quot;-&quot;??_р_._-;_-@_-"/>
    <numFmt numFmtId="165" formatCode="#,##0.0"/>
    <numFmt numFmtId="166" formatCode="#,##0.0000"/>
    <numFmt numFmtId="167" formatCode="0.0%"/>
    <numFmt numFmtId="168" formatCode="0.0"/>
    <numFmt numFmtId="169" formatCode="#,##0_ ;[Red]\-#,##0\ "/>
    <numFmt numFmtId="170" formatCode="_-* #,##0_р_._-;\-* #,##0_р_._-;_-* &quot;-&quot;??_р_._-;_-@_-"/>
  </numFmts>
  <fonts count="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36"/>
      <color theme="6" tint="-0.499984740745262"/>
      <name val="Calibri"/>
      <family val="2"/>
      <charset val="204"/>
      <scheme val="minor"/>
    </font>
    <font>
      <b/>
      <sz val="48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sz val="8"/>
      <name val="Arial Cyr"/>
      <family val="2"/>
      <charset val="204"/>
    </font>
    <font>
      <sz val="8"/>
      <color indexed="9"/>
      <name val="Arial Cyr"/>
      <family val="2"/>
      <charset val="204"/>
    </font>
    <font>
      <i/>
      <sz val="8"/>
      <color indexed="9"/>
      <name val="Arial Cyr"/>
      <family val="2"/>
      <charset val="204"/>
    </font>
    <font>
      <b/>
      <i/>
      <sz val="8"/>
      <color indexed="22"/>
      <name val="Arial Cyr"/>
      <family val="2"/>
      <charset val="204"/>
    </font>
    <font>
      <b/>
      <i/>
      <sz val="8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8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9"/>
      <name val="Arial Cyr"/>
      <charset val="204"/>
    </font>
    <font>
      <b/>
      <sz val="8"/>
      <color rgb="FFFF0000"/>
      <name val="Arial Cyr"/>
      <charset val="204"/>
    </font>
    <font>
      <sz val="8"/>
      <name val="Arial Cyr"/>
      <charset val="204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theme="6" tint="-0.499984740745262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0"/>
      <color rgb="FF0070C0"/>
      <name val="Arial Cyr"/>
      <family val="2"/>
      <charset val="204"/>
    </font>
    <font>
      <b/>
      <sz val="10"/>
      <name val="Arial Cyr"/>
      <charset val="204"/>
    </font>
    <font>
      <sz val="11"/>
      <color rgb="FF0070C0"/>
      <name val="Calibri"/>
      <family val="2"/>
      <charset val="204"/>
      <scheme val="minor"/>
    </font>
    <font>
      <b/>
      <sz val="10"/>
      <name val="Arial Cyr"/>
      <family val="2"/>
      <charset val="204"/>
    </font>
    <font>
      <b/>
      <sz val="10"/>
      <color rgb="FF0070C0"/>
      <name val="Arial Cyr"/>
      <family val="2"/>
      <charset val="204"/>
    </font>
    <font>
      <b/>
      <sz val="8"/>
      <color indexed="9"/>
      <name val="Arial Cyr"/>
      <family val="2"/>
      <charset val="204"/>
    </font>
    <font>
      <b/>
      <sz val="11"/>
      <color indexed="8"/>
      <name val="Arial Cyr"/>
      <family val="2"/>
      <charset val="204"/>
    </font>
    <font>
      <sz val="8"/>
      <color theme="3"/>
      <name val="Arial Cyr"/>
      <family val="2"/>
      <charset val="204"/>
    </font>
    <font>
      <b/>
      <sz val="8"/>
      <color theme="3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8"/>
      <color indexed="9"/>
      <name val="Arial Cyr"/>
      <charset val="204"/>
    </font>
    <font>
      <sz val="9"/>
      <name val="Arial Cyr"/>
      <family val="2"/>
      <charset val="204"/>
    </font>
    <font>
      <sz val="9"/>
      <color rgb="FFFF0000"/>
      <name val="Arial Cyr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indexed="8"/>
      <name val="Arial Cyr"/>
      <family val="2"/>
      <charset val="204"/>
    </font>
    <font>
      <b/>
      <sz val="9"/>
      <color indexed="8"/>
      <name val="Arial Cyr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</cellStyleXfs>
  <cellXfs count="404">
    <xf numFmtId="0" fontId="0" fillId="0" borderId="0" xfId="0"/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9" fontId="6" fillId="0" borderId="0" xfId="2" applyFont="1" applyBorder="1" applyAlignment="1">
      <alignment horizontal="center" vertical="center"/>
    </xf>
    <xf numFmtId="9" fontId="10" fillId="0" borderId="0" xfId="2" applyFont="1" applyBorder="1" applyAlignment="1">
      <alignment horizontal="left" vertical="center" wrapText="1"/>
    </xf>
    <xf numFmtId="0" fontId="7" fillId="0" borderId="0" xfId="0" applyFont="1" applyBorder="1" applyAlignment="1">
      <alignment vertical="center"/>
    </xf>
    <xf numFmtId="0" fontId="0" fillId="0" borderId="0" xfId="0" applyBorder="1"/>
    <xf numFmtId="9" fontId="11" fillId="0" borderId="0" xfId="2" applyFont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0" fillId="0" borderId="7" xfId="0" applyBorder="1"/>
    <xf numFmtId="0" fontId="0" fillId="0" borderId="7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13" fillId="3" borderId="0" xfId="3" applyFont="1" applyFill="1" applyBorder="1" applyAlignment="1">
      <alignment vertical="center"/>
    </xf>
    <xf numFmtId="0" fontId="13" fillId="3" borderId="0" xfId="3" applyFont="1" applyFill="1" applyBorder="1" applyAlignment="1">
      <alignment vertical="center" wrapText="1"/>
    </xf>
    <xf numFmtId="0" fontId="14" fillId="3" borderId="0" xfId="3" applyFont="1" applyFill="1" applyBorder="1" applyAlignment="1">
      <alignment vertical="center" wrapText="1"/>
    </xf>
    <xf numFmtId="0" fontId="12" fillId="3" borderId="0" xfId="3" applyFont="1" applyFill="1"/>
    <xf numFmtId="0" fontId="12" fillId="0" borderId="0" xfId="3" applyFont="1"/>
    <xf numFmtId="0" fontId="15" fillId="0" borderId="0" xfId="3" applyFont="1"/>
    <xf numFmtId="0" fontId="16" fillId="4" borderId="8" xfId="3" applyFont="1" applyFill="1" applyBorder="1" applyAlignment="1">
      <alignment vertical="center"/>
    </xf>
    <xf numFmtId="0" fontId="16" fillId="4" borderId="8" xfId="3" applyFont="1" applyFill="1" applyBorder="1" applyAlignment="1">
      <alignment horizontal="center" vertical="center"/>
    </xf>
    <xf numFmtId="165" fontId="17" fillId="4" borderId="8" xfId="3" applyNumberFormat="1" applyFont="1" applyFill="1" applyBorder="1" applyAlignment="1">
      <alignment horizontal="center" vertical="center"/>
    </xf>
    <xf numFmtId="0" fontId="12" fillId="0" borderId="0" xfId="3" applyFont="1" applyBorder="1" applyAlignment="1">
      <alignment horizontal="left" vertical="center" wrapText="1"/>
    </xf>
    <xf numFmtId="0" fontId="15" fillId="0" borderId="0" xfId="3" applyFont="1" applyBorder="1" applyAlignment="1">
      <alignment horizontal="left" vertical="center" wrapText="1"/>
    </xf>
    <xf numFmtId="0" fontId="15" fillId="0" borderId="10" xfId="0" applyFont="1" applyBorder="1" applyAlignment="1">
      <alignment vertical="center"/>
    </xf>
    <xf numFmtId="0" fontId="15" fillId="0" borderId="10" xfId="0" applyFont="1" applyBorder="1" applyAlignment="1">
      <alignment horizontal="center" vertical="center"/>
    </xf>
    <xf numFmtId="0" fontId="15" fillId="0" borderId="10" xfId="0" applyFont="1" applyBorder="1"/>
    <xf numFmtId="0" fontId="15" fillId="0" borderId="10" xfId="3" applyFont="1" applyBorder="1"/>
    <xf numFmtId="0" fontId="16" fillId="4" borderId="8" xfId="0" applyFont="1" applyFill="1" applyBorder="1" applyAlignment="1">
      <alignment vertical="center"/>
    </xf>
    <xf numFmtId="0" fontId="16" fillId="4" borderId="8" xfId="0" applyFont="1" applyFill="1" applyBorder="1" applyAlignment="1">
      <alignment horizontal="center" vertical="center"/>
    </xf>
    <xf numFmtId="0" fontId="15" fillId="0" borderId="0" xfId="0" applyFont="1"/>
    <xf numFmtId="0" fontId="18" fillId="0" borderId="9" xfId="0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0" fontId="15" fillId="5" borderId="0" xfId="0" applyFont="1" applyFill="1" applyBorder="1" applyAlignment="1">
      <alignment horizontal="left" vertical="center"/>
    </xf>
    <xf numFmtId="0" fontId="15" fillId="5" borderId="0" xfId="0" applyFont="1" applyFill="1" applyBorder="1" applyAlignment="1">
      <alignment horizontal="center" vertical="center"/>
    </xf>
    <xf numFmtId="4" fontId="19" fillId="0" borderId="0" xfId="0" applyNumberFormat="1" applyFont="1" applyFill="1" applyBorder="1" applyAlignment="1">
      <alignment vertical="center"/>
    </xf>
    <xf numFmtId="9" fontId="15" fillId="0" borderId="0" xfId="4" applyFont="1"/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vertical="center"/>
    </xf>
    <xf numFmtId="9" fontId="15" fillId="0" borderId="0" xfId="4" applyFont="1" applyFill="1"/>
    <xf numFmtId="0" fontId="15" fillId="0" borderId="0" xfId="0" applyFont="1" applyFill="1"/>
    <xf numFmtId="0" fontId="21" fillId="0" borderId="11" xfId="0" applyFont="1" applyFill="1" applyBorder="1" applyAlignment="1">
      <alignment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4" fontId="15" fillId="0" borderId="0" xfId="0" applyNumberFormat="1" applyFont="1" applyAlignment="1">
      <alignment vertical="center"/>
    </xf>
    <xf numFmtId="3" fontId="15" fillId="5" borderId="0" xfId="0" applyNumberFormat="1" applyFont="1" applyFill="1" applyBorder="1" applyAlignment="1">
      <alignment vertical="center"/>
    </xf>
    <xf numFmtId="3" fontId="15" fillId="0" borderId="0" xfId="4" applyNumberFormat="1" applyFont="1"/>
    <xf numFmtId="3" fontId="15" fillId="0" borderId="0" xfId="0" applyNumberFormat="1" applyFont="1"/>
    <xf numFmtId="3" fontId="15" fillId="0" borderId="0" xfId="0" applyNumberFormat="1" applyFont="1" applyFill="1" applyBorder="1" applyAlignment="1">
      <alignment vertical="center"/>
    </xf>
    <xf numFmtId="3" fontId="15" fillId="0" borderId="0" xfId="4" applyNumberFormat="1" applyFont="1" applyFill="1"/>
    <xf numFmtId="3" fontId="15" fillId="0" borderId="0" xfId="0" applyNumberFormat="1" applyFont="1" applyFill="1"/>
    <xf numFmtId="0" fontId="21" fillId="0" borderId="0" xfId="0" applyFont="1" applyFill="1" applyBorder="1" applyAlignment="1">
      <alignment vertical="center"/>
    </xf>
    <xf numFmtId="0" fontId="18" fillId="0" borderId="0" xfId="3" applyFont="1" applyFill="1" applyBorder="1" applyAlignment="1">
      <alignment vertical="center"/>
    </xf>
    <xf numFmtId="0" fontId="15" fillId="0" borderId="0" xfId="3" applyFont="1" applyBorder="1" applyAlignment="1">
      <alignment horizontal="center" vertical="center"/>
    </xf>
    <xf numFmtId="0" fontId="15" fillId="0" borderId="0" xfId="3" applyFont="1" applyBorder="1" applyAlignment="1">
      <alignment vertical="center"/>
    </xf>
    <xf numFmtId="0" fontId="15" fillId="0" borderId="0" xfId="3" applyFont="1" applyFill="1" applyBorder="1" applyAlignment="1">
      <alignment horizontal="center" vertical="center"/>
    </xf>
    <xf numFmtId="4" fontId="15" fillId="0" borderId="0" xfId="3" applyNumberFormat="1" applyFont="1" applyFill="1" applyBorder="1" applyAlignment="1">
      <alignment vertical="center"/>
    </xf>
    <xf numFmtId="4" fontId="19" fillId="0" borderId="0" xfId="3" applyNumberFormat="1" applyFont="1" applyFill="1" applyBorder="1" applyAlignment="1">
      <alignment vertical="center"/>
    </xf>
    <xf numFmtId="0" fontId="15" fillId="0" borderId="7" xfId="3" applyFont="1" applyBorder="1" applyAlignment="1">
      <alignment vertical="center"/>
    </xf>
    <xf numFmtId="0" fontId="15" fillId="0" borderId="7" xfId="3" applyFont="1" applyBorder="1" applyAlignment="1">
      <alignment horizontal="center" vertical="center"/>
    </xf>
    <xf numFmtId="0" fontId="15" fillId="0" borderId="7" xfId="3" applyFont="1" applyFill="1" applyBorder="1" applyAlignment="1">
      <alignment vertical="center"/>
    </xf>
    <xf numFmtId="0" fontId="15" fillId="0" borderId="0" xfId="3" applyFont="1" applyFill="1" applyBorder="1" applyAlignment="1">
      <alignment vertical="center"/>
    </xf>
    <xf numFmtId="0" fontId="15" fillId="0" borderId="9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15" fillId="0" borderId="7" xfId="0" applyFont="1" applyBorder="1" applyAlignment="1">
      <alignment vertical="center"/>
    </xf>
    <xf numFmtId="0" fontId="15" fillId="0" borderId="7" xfId="0" applyFont="1" applyBorder="1" applyAlignment="1">
      <alignment horizontal="center" vertical="center"/>
    </xf>
    <xf numFmtId="4" fontId="15" fillId="0" borderId="7" xfId="0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left" vertical="center"/>
    </xf>
    <xf numFmtId="0" fontId="15" fillId="0" borderId="7" xfId="0" applyFont="1" applyFill="1" applyBorder="1" applyAlignment="1">
      <alignment vertical="center"/>
    </xf>
    <xf numFmtId="0" fontId="24" fillId="0" borderId="0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10" fontId="19" fillId="0" borderId="0" xfId="0" applyNumberFormat="1" applyFont="1" applyBorder="1" applyAlignment="1">
      <alignment vertical="center"/>
    </xf>
    <xf numFmtId="166" fontId="15" fillId="0" borderId="0" xfId="0" applyNumberFormat="1" applyFont="1" applyFill="1" applyBorder="1" applyAlignment="1">
      <alignment horizontal="left" vertical="center"/>
    </xf>
    <xf numFmtId="166" fontId="15" fillId="0" borderId="0" xfId="0" applyNumberFormat="1" applyFont="1"/>
    <xf numFmtId="166" fontId="15" fillId="0" borderId="0" xfId="0" applyNumberFormat="1" applyFont="1" applyFill="1" applyBorder="1" applyAlignment="1">
      <alignment vertical="center"/>
    </xf>
    <xf numFmtId="166" fontId="19" fillId="0" borderId="0" xfId="0" applyNumberFormat="1" applyFont="1" applyFill="1" applyBorder="1" applyAlignment="1">
      <alignment vertical="center"/>
    </xf>
    <xf numFmtId="4" fontId="15" fillId="0" borderId="0" xfId="0" applyNumberFormat="1" applyFont="1" applyFill="1"/>
    <xf numFmtId="3" fontId="22" fillId="0" borderId="0" xfId="0" applyNumberFormat="1" applyFont="1" applyFill="1" applyBorder="1" applyAlignment="1">
      <alignment vertical="center"/>
    </xf>
    <xf numFmtId="4" fontId="15" fillId="0" borderId="0" xfId="0" applyNumberFormat="1" applyFont="1" applyFill="1" applyBorder="1" applyAlignment="1">
      <alignment horizontal="center" vertical="center"/>
    </xf>
    <xf numFmtId="4" fontId="22" fillId="0" borderId="1" xfId="0" applyNumberFormat="1" applyFont="1" applyFill="1" applyBorder="1" applyAlignment="1">
      <alignment vertical="center"/>
    </xf>
    <xf numFmtId="0" fontId="22" fillId="0" borderId="0" xfId="0" applyFont="1"/>
    <xf numFmtId="4" fontId="21" fillId="0" borderId="0" xfId="0" applyNumberFormat="1" applyFont="1"/>
    <xf numFmtId="0" fontId="25" fillId="0" borderId="0" xfId="0" applyFont="1"/>
    <xf numFmtId="0" fontId="24" fillId="0" borderId="0" xfId="0" applyFont="1"/>
    <xf numFmtId="0" fontId="26" fillId="3" borderId="0" xfId="3" applyFont="1" applyFill="1" applyBorder="1" applyAlignment="1">
      <alignment horizontal="left" vertical="center"/>
    </xf>
    <xf numFmtId="9" fontId="15" fillId="5" borderId="0" xfId="0" applyNumberFormat="1" applyFont="1" applyFill="1" applyBorder="1" applyAlignment="1">
      <alignment horizontal="left" vertical="center"/>
    </xf>
    <xf numFmtId="9" fontId="15" fillId="0" borderId="0" xfId="0" applyNumberFormat="1" applyFont="1" applyFill="1" applyBorder="1" applyAlignment="1">
      <alignment horizontal="left" vertical="center"/>
    </xf>
    <xf numFmtId="0" fontId="22" fillId="6" borderId="0" xfId="3" applyFont="1" applyFill="1" applyBorder="1" applyAlignment="1">
      <alignment horizontal="left" vertical="center"/>
    </xf>
    <xf numFmtId="0" fontId="15" fillId="6" borderId="0" xfId="3" applyFont="1" applyFill="1" applyBorder="1" applyAlignment="1">
      <alignment horizontal="center" vertical="center"/>
    </xf>
    <xf numFmtId="4" fontId="22" fillId="6" borderId="0" xfId="3" applyNumberFormat="1" applyFont="1" applyFill="1" applyBorder="1" applyAlignment="1">
      <alignment vertical="center"/>
    </xf>
    <xf numFmtId="4" fontId="19" fillId="6" borderId="0" xfId="0" applyNumberFormat="1" applyFont="1" applyFill="1" applyBorder="1" applyAlignment="1">
      <alignment vertical="center"/>
    </xf>
    <xf numFmtId="0" fontId="15" fillId="6" borderId="0" xfId="3" applyFont="1" applyFill="1"/>
    <xf numFmtId="0" fontId="27" fillId="0" borderId="0" xfId="0" applyFont="1" applyFill="1" applyBorder="1" applyAlignment="1">
      <alignment horizontal="left" vertical="center"/>
    </xf>
    <xf numFmtId="0" fontId="28" fillId="6" borderId="0" xfId="0" applyFont="1" applyFill="1" applyBorder="1" applyAlignment="1">
      <alignment horizontal="left" vertical="center"/>
    </xf>
    <xf numFmtId="0" fontId="15" fillId="6" borderId="0" xfId="0" applyFont="1" applyFill="1" applyBorder="1" applyAlignment="1">
      <alignment horizontal="center" vertical="center"/>
    </xf>
    <xf numFmtId="0" fontId="15" fillId="6" borderId="0" xfId="0" applyFont="1" applyFill="1"/>
    <xf numFmtId="3" fontId="15" fillId="6" borderId="0" xfId="0" applyNumberFormat="1" applyFont="1" applyFill="1" applyBorder="1" applyAlignment="1">
      <alignment horizontal="left" vertical="center"/>
    </xf>
    <xf numFmtId="3" fontId="15" fillId="6" borderId="0" xfId="0" applyNumberFormat="1" applyFont="1" applyFill="1"/>
    <xf numFmtId="0" fontId="2" fillId="0" borderId="0" xfId="0" applyFont="1" applyAlignment="1">
      <alignment horizontal="center" vertical="center"/>
    </xf>
    <xf numFmtId="0" fontId="12" fillId="0" borderId="0" xfId="3" applyFont="1" applyBorder="1" applyAlignment="1">
      <alignment horizontal="left" vertical="center" wrapText="1"/>
    </xf>
    <xf numFmtId="1" fontId="6" fillId="2" borderId="1" xfId="2" applyNumberFormat="1" applyFont="1" applyFill="1" applyBorder="1" applyAlignment="1" applyProtection="1">
      <alignment horizontal="center" vertical="center"/>
      <protection locked="0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 wrapText="1"/>
    </xf>
    <xf numFmtId="10" fontId="30" fillId="0" borderId="0" xfId="2" applyNumberFormat="1" applyFont="1"/>
    <xf numFmtId="0" fontId="30" fillId="0" borderId="0" xfId="0" applyFont="1" applyAlignment="1">
      <alignment wrapText="1"/>
    </xf>
    <xf numFmtId="10" fontId="30" fillId="0" borderId="0" xfId="0" applyNumberFormat="1" applyFont="1"/>
    <xf numFmtId="0" fontId="29" fillId="0" borderId="0" xfId="0" applyFont="1" applyAlignment="1">
      <alignment horizontal="center" vertical="center"/>
    </xf>
    <xf numFmtId="0" fontId="3" fillId="6" borderId="0" xfId="0" applyFont="1" applyFill="1" applyProtection="1">
      <protection locked="0"/>
    </xf>
    <xf numFmtId="0" fontId="31" fillId="0" borderId="0" xfId="0" applyFont="1" applyAlignment="1">
      <alignment vertical="center"/>
    </xf>
    <xf numFmtId="0" fontId="30" fillId="6" borderId="0" xfId="0" applyFont="1" applyFill="1" applyProtection="1">
      <protection locked="0"/>
    </xf>
    <xf numFmtId="0" fontId="33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1" fontId="6" fillId="6" borderId="1" xfId="2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9" fontId="11" fillId="6" borderId="0" xfId="2" applyFont="1" applyFill="1" applyBorder="1" applyAlignment="1">
      <alignment horizontal="left" vertical="center" indent="1"/>
    </xf>
    <xf numFmtId="3" fontId="6" fillId="6" borderId="0" xfId="1" applyNumberFormat="1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6" borderId="0" xfId="0" applyFont="1" applyFill="1" applyAlignment="1"/>
    <xf numFmtId="0" fontId="2" fillId="6" borderId="0" xfId="0" applyFont="1" applyFill="1" applyBorder="1" applyAlignment="1"/>
    <xf numFmtId="0" fontId="5" fillId="6" borderId="0" xfId="0" applyFont="1" applyFill="1" applyAlignment="1">
      <alignment vertical="center"/>
    </xf>
    <xf numFmtId="0" fontId="30" fillId="0" borderId="0" xfId="0" applyFont="1"/>
    <xf numFmtId="9" fontId="0" fillId="0" borderId="0" xfId="0" applyNumberFormat="1"/>
    <xf numFmtId="0" fontId="0" fillId="6" borderId="0" xfId="0" applyFill="1" applyBorder="1"/>
    <xf numFmtId="0" fontId="35" fillId="0" borderId="0" xfId="0" applyFont="1"/>
    <xf numFmtId="0" fontId="34" fillId="0" borderId="6" xfId="0" applyFont="1" applyBorder="1" applyAlignment="1">
      <alignment horizontal="center" vertical="center"/>
    </xf>
    <xf numFmtId="9" fontId="11" fillId="0" borderId="0" xfId="2" applyFont="1" applyBorder="1" applyAlignment="1">
      <alignment horizontal="left" vertical="center"/>
    </xf>
    <xf numFmtId="3" fontId="10" fillId="6" borderId="0" xfId="1" applyNumberFormat="1" applyFont="1" applyFill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7" fillId="6" borderId="0" xfId="0" applyFont="1" applyFill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0" fontId="10" fillId="6" borderId="0" xfId="0" applyFont="1" applyFill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6" borderId="0" xfId="0" applyFont="1" applyFill="1" applyBorder="1" applyAlignment="1">
      <alignment vertical="center"/>
    </xf>
    <xf numFmtId="0" fontId="0" fillId="0" borderId="0" xfId="0" applyAlignment="1"/>
    <xf numFmtId="0" fontId="36" fillId="6" borderId="0" xfId="0" applyFont="1" applyFill="1" applyAlignment="1"/>
    <xf numFmtId="0" fontId="36" fillId="0" borderId="0" xfId="0" applyFont="1" applyAlignment="1"/>
    <xf numFmtId="0" fontId="2" fillId="0" borderId="0" xfId="0" applyFont="1" applyAlignment="1">
      <alignment vertical="center" wrapText="1"/>
    </xf>
    <xf numFmtId="0" fontId="2" fillId="6" borderId="0" xfId="0" applyFont="1" applyFill="1" applyBorder="1"/>
    <xf numFmtId="9" fontId="10" fillId="6" borderId="0" xfId="2" applyFont="1" applyFill="1" applyBorder="1" applyAlignment="1">
      <alignment vertical="center"/>
    </xf>
    <xf numFmtId="10" fontId="6" fillId="0" borderId="0" xfId="2" applyNumberFormat="1" applyFont="1" applyFill="1" applyBorder="1" applyAlignment="1">
      <alignment vertical="center"/>
    </xf>
    <xf numFmtId="3" fontId="6" fillId="6" borderId="0" xfId="1" applyNumberFormat="1" applyFont="1" applyFill="1" applyBorder="1" applyAlignment="1">
      <alignment vertical="center"/>
    </xf>
    <xf numFmtId="3" fontId="6" fillId="6" borderId="0" xfId="1" applyNumberFormat="1" applyFont="1" applyFill="1" applyBorder="1" applyAlignment="1">
      <alignment horizontal="left" vertical="center"/>
    </xf>
    <xf numFmtId="9" fontId="34" fillId="0" borderId="6" xfId="2" applyFont="1" applyBorder="1" applyAlignment="1">
      <alignment vertical="center"/>
    </xf>
    <xf numFmtId="9" fontId="10" fillId="0" borderId="0" xfId="2" applyFont="1" applyBorder="1" applyAlignment="1">
      <alignment vertical="center"/>
    </xf>
    <xf numFmtId="0" fontId="37" fillId="0" borderId="0" xfId="0" applyFont="1" applyBorder="1" applyAlignment="1">
      <alignment wrapText="1"/>
    </xf>
    <xf numFmtId="0" fontId="37" fillId="0" borderId="0" xfId="0" applyFont="1" applyBorder="1" applyAlignment="1">
      <alignment horizontal="center"/>
    </xf>
    <xf numFmtId="10" fontId="34" fillId="6" borderId="0" xfId="2" applyNumberFormat="1" applyFont="1" applyFill="1" applyBorder="1" applyAlignment="1" applyProtection="1">
      <alignment vertical="center"/>
      <protection locked="0"/>
    </xf>
    <xf numFmtId="3" fontId="9" fillId="6" borderId="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Border="1" applyAlignment="1">
      <alignment horizontal="center" vertical="center"/>
    </xf>
    <xf numFmtId="0" fontId="38" fillId="0" borderId="0" xfId="0" applyFont="1"/>
    <xf numFmtId="167" fontId="9" fillId="2" borderId="1" xfId="2" applyNumberFormat="1" applyFont="1" applyFill="1" applyBorder="1" applyAlignment="1" applyProtection="1">
      <alignment horizontal="center" vertical="center"/>
      <protection locked="0"/>
    </xf>
    <xf numFmtId="167" fontId="9" fillId="6" borderId="1" xfId="2" applyNumberFormat="1" applyFont="1" applyFill="1" applyBorder="1" applyAlignment="1" applyProtection="1">
      <alignment horizontal="center" vertical="center"/>
      <protection locked="0"/>
    </xf>
    <xf numFmtId="167" fontId="9" fillId="6" borderId="5" xfId="2" applyNumberFormat="1" applyFont="1" applyFill="1" applyBorder="1" applyAlignment="1" applyProtection="1">
      <alignment horizontal="center" vertical="center"/>
      <protection locked="0"/>
    </xf>
    <xf numFmtId="167" fontId="32" fillId="6" borderId="0" xfId="2" applyNumberFormat="1" applyFont="1" applyFill="1" applyBorder="1" applyAlignment="1" applyProtection="1">
      <alignment horizontal="center" vertical="center"/>
      <protection locked="0"/>
    </xf>
    <xf numFmtId="9" fontId="32" fillId="0" borderId="1" xfId="2" applyFont="1" applyBorder="1" applyAlignment="1">
      <alignment horizontal="center" vertical="center"/>
    </xf>
    <xf numFmtId="9" fontId="15" fillId="2" borderId="0" xfId="3" applyNumberFormat="1" applyFont="1" applyFill="1" applyBorder="1" applyAlignment="1">
      <alignment horizontal="center" vertical="center"/>
    </xf>
    <xf numFmtId="9" fontId="15" fillId="6" borderId="0" xfId="3" applyNumberFormat="1" applyFont="1" applyFill="1" applyBorder="1" applyAlignment="1">
      <alignment horizontal="center" vertical="center"/>
    </xf>
    <xf numFmtId="0" fontId="15" fillId="6" borderId="0" xfId="3" applyFont="1" applyFill="1" applyBorder="1" applyAlignment="1">
      <alignment horizontal="left" vertical="center"/>
    </xf>
    <xf numFmtId="0" fontId="39" fillId="0" borderId="0" xfId="3" applyFont="1"/>
    <xf numFmtId="0" fontId="15" fillId="6" borderId="0" xfId="3" applyFont="1" applyFill="1" applyBorder="1"/>
    <xf numFmtId="0" fontId="12" fillId="6" borderId="0" xfId="3" applyFont="1" applyFill="1" applyBorder="1"/>
    <xf numFmtId="0" fontId="16" fillId="4" borderId="14" xfId="0" applyFont="1" applyFill="1" applyBorder="1" applyAlignment="1">
      <alignment horizontal="center" vertical="center"/>
    </xf>
    <xf numFmtId="0" fontId="16" fillId="4" borderId="14" xfId="3" applyFont="1" applyFill="1" applyBorder="1" applyAlignment="1">
      <alignment horizontal="center"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21" fillId="0" borderId="11" xfId="0" applyNumberFormat="1" applyFont="1" applyFill="1" applyBorder="1" applyAlignment="1">
      <alignment vertical="center"/>
    </xf>
    <xf numFmtId="3" fontId="0" fillId="0" borderId="0" xfId="0" applyNumberFormat="1"/>
    <xf numFmtId="0" fontId="22" fillId="0" borderId="0" xfId="0" applyFont="1" applyFill="1" applyBorder="1" applyAlignment="1">
      <alignment horizontal="right"/>
    </xf>
    <xf numFmtId="0" fontId="22" fillId="0" borderId="0" xfId="0" applyFont="1" applyAlignment="1">
      <alignment horizontal="right"/>
    </xf>
    <xf numFmtId="1" fontId="22" fillId="0" borderId="1" xfId="0" applyNumberFormat="1" applyFont="1" applyFill="1" applyBorder="1"/>
    <xf numFmtId="0" fontId="16" fillId="4" borderId="8" xfId="0" applyFont="1" applyFill="1" applyBorder="1" applyAlignment="1">
      <alignment horizontal="center" vertical="center" wrapText="1"/>
    </xf>
    <xf numFmtId="0" fontId="2" fillId="0" borderId="0" xfId="0" applyFont="1"/>
    <xf numFmtId="0" fontId="42" fillId="3" borderId="0" xfId="3" applyFont="1" applyFill="1"/>
    <xf numFmtId="0" fontId="42" fillId="0" borderId="0" xfId="3" applyFont="1"/>
    <xf numFmtId="9" fontId="22" fillId="2" borderId="0" xfId="3" applyNumberFormat="1" applyFont="1" applyFill="1" applyBorder="1" applyAlignment="1">
      <alignment horizontal="center" vertical="center"/>
    </xf>
    <xf numFmtId="0" fontId="43" fillId="0" borderId="0" xfId="3" applyFont="1"/>
    <xf numFmtId="0" fontId="42" fillId="6" borderId="0" xfId="3" applyFont="1" applyFill="1" applyBorder="1"/>
    <xf numFmtId="0" fontId="44" fillId="4" borderId="14" xfId="3" applyFont="1" applyFill="1" applyBorder="1" applyAlignment="1">
      <alignment horizontal="center" vertical="center" wrapText="1"/>
    </xf>
    <xf numFmtId="0" fontId="22" fillId="0" borderId="10" xfId="0" applyFont="1" applyBorder="1"/>
    <xf numFmtId="0" fontId="22" fillId="0" borderId="0" xfId="3" applyFont="1"/>
    <xf numFmtId="0" fontId="44" fillId="4" borderId="14" xfId="0" applyFont="1" applyFill="1" applyBorder="1" applyAlignment="1">
      <alignment horizontal="center" vertical="center" wrapText="1"/>
    </xf>
    <xf numFmtId="3" fontId="22" fillId="5" borderId="0" xfId="0" applyNumberFormat="1" applyFont="1" applyFill="1" applyBorder="1" applyAlignment="1">
      <alignment vertical="center"/>
    </xf>
    <xf numFmtId="0" fontId="44" fillId="4" borderId="8" xfId="0" applyFont="1" applyFill="1" applyBorder="1" applyAlignment="1">
      <alignment horizontal="center" vertical="center" wrapText="1"/>
    </xf>
    <xf numFmtId="4" fontId="22" fillId="0" borderId="0" xfId="0" applyNumberFormat="1" applyFont="1" applyFill="1" applyBorder="1" applyAlignment="1">
      <alignment vertical="center"/>
    </xf>
    <xf numFmtId="0" fontId="22" fillId="0" borderId="0" xfId="3" applyFont="1" applyBorder="1" applyAlignment="1">
      <alignment vertical="center"/>
    </xf>
    <xf numFmtId="0" fontId="22" fillId="0" borderId="7" xfId="3" applyFont="1" applyFill="1" applyBorder="1" applyAlignment="1">
      <alignment vertical="center"/>
    </xf>
    <xf numFmtId="4" fontId="22" fillId="0" borderId="7" xfId="0" applyNumberFormat="1" applyFont="1" applyFill="1" applyBorder="1" applyAlignment="1">
      <alignment vertical="center"/>
    </xf>
    <xf numFmtId="0" fontId="22" fillId="0" borderId="7" xfId="0" applyFont="1" applyBorder="1" applyAlignment="1">
      <alignment vertical="center"/>
    </xf>
    <xf numFmtId="0" fontId="44" fillId="4" borderId="8" xfId="0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45" fillId="0" borderId="0" xfId="0" applyFont="1"/>
    <xf numFmtId="3" fontId="22" fillId="6" borderId="0" xfId="3" applyNumberFormat="1" applyFont="1" applyFill="1" applyBorder="1" applyAlignment="1">
      <alignment vertical="center"/>
    </xf>
    <xf numFmtId="165" fontId="16" fillId="4" borderId="8" xfId="0" applyNumberFormat="1" applyFont="1" applyFill="1" applyBorder="1" applyAlignment="1">
      <alignment horizontal="center" vertical="center" wrapText="1"/>
    </xf>
    <xf numFmtId="0" fontId="46" fillId="0" borderId="0" xfId="0" applyFont="1"/>
    <xf numFmtId="0" fontId="46" fillId="0" borderId="0" xfId="0" applyFont="1" applyFill="1"/>
    <xf numFmtId="0" fontId="47" fillId="0" borderId="0" xfId="0" applyFont="1" applyFill="1"/>
    <xf numFmtId="0" fontId="5" fillId="0" borderId="0" xfId="0" applyFont="1" applyBorder="1" applyAlignment="1">
      <alignment vertical="center"/>
    </xf>
    <xf numFmtId="3" fontId="9" fillId="6" borderId="1" xfId="1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1" fontId="6" fillId="2" borderId="1" xfId="2" applyNumberFormat="1" applyFont="1" applyFill="1" applyBorder="1" applyAlignment="1" applyProtection="1">
      <alignment horizontal="center" vertical="center"/>
      <protection locked="0"/>
    </xf>
    <xf numFmtId="0" fontId="0" fillId="6" borderId="7" xfId="0" applyFill="1" applyBorder="1"/>
    <xf numFmtId="0" fontId="4" fillId="6" borderId="0" xfId="0" applyFont="1" applyFill="1" applyBorder="1" applyAlignment="1">
      <alignment vertical="center" wrapText="1"/>
    </xf>
    <xf numFmtId="3" fontId="9" fillId="6" borderId="0" xfId="1" applyNumberFormat="1" applyFont="1" applyFill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1" fontId="6" fillId="6" borderId="1" xfId="2" applyNumberFormat="1" applyFont="1" applyFill="1" applyBorder="1" applyAlignment="1" applyProtection="1">
      <alignment horizontal="center" vertical="center"/>
      <protection locked="0"/>
    </xf>
    <xf numFmtId="0" fontId="9" fillId="6" borderId="1" xfId="2" applyNumberFormat="1" applyFont="1" applyFill="1" applyBorder="1" applyAlignment="1" applyProtection="1">
      <alignment horizontal="center" vertical="center"/>
      <protection locked="0"/>
    </xf>
    <xf numFmtId="0" fontId="9" fillId="6" borderId="1" xfId="2" applyNumberFormat="1" applyFont="1" applyFill="1" applyBorder="1" applyAlignment="1" applyProtection="1">
      <alignment horizontal="center" vertical="center"/>
      <protection locked="0"/>
    </xf>
    <xf numFmtId="3" fontId="19" fillId="6" borderId="0" xfId="3" applyNumberFormat="1" applyFont="1" applyFill="1" applyBorder="1" applyAlignment="1">
      <alignment vertical="center"/>
    </xf>
    <xf numFmtId="3" fontId="15" fillId="6" borderId="0" xfId="0" applyNumberFormat="1" applyFont="1" applyFill="1" applyBorder="1" applyAlignment="1">
      <alignment vertical="center"/>
    </xf>
    <xf numFmtId="3" fontId="19" fillId="0" borderId="0" xfId="3" applyNumberFormat="1" applyFont="1" applyFill="1" applyBorder="1" applyAlignment="1">
      <alignment vertical="center"/>
    </xf>
    <xf numFmtId="3" fontId="15" fillId="0" borderId="0" xfId="0" applyNumberFormat="1" applyFont="1" applyBorder="1" applyAlignment="1">
      <alignment vertical="center"/>
    </xf>
    <xf numFmtId="3" fontId="22" fillId="0" borderId="0" xfId="0" applyNumberFormat="1" applyFont="1" applyBorder="1" applyAlignment="1">
      <alignment vertical="center"/>
    </xf>
    <xf numFmtId="0" fontId="13" fillId="3" borderId="0" xfId="3" applyFont="1" applyFill="1" applyBorder="1" applyAlignment="1">
      <alignment horizontal="right" vertical="center"/>
    </xf>
    <xf numFmtId="1" fontId="26" fillId="3" borderId="0" xfId="3" applyNumberFormat="1" applyFont="1" applyFill="1" applyBorder="1" applyAlignment="1">
      <alignment horizontal="left" vertical="center"/>
    </xf>
    <xf numFmtId="169" fontId="15" fillId="0" borderId="0" xfId="0" applyNumberFormat="1" applyFont="1" applyFill="1" applyBorder="1" applyAlignment="1">
      <alignment vertical="center"/>
    </xf>
    <xf numFmtId="169" fontId="22" fillId="0" borderId="0" xfId="0" applyNumberFormat="1" applyFont="1" applyFill="1" applyBorder="1" applyAlignment="1">
      <alignment vertical="center"/>
    </xf>
    <xf numFmtId="169" fontId="19" fillId="6" borderId="0" xfId="3" applyNumberFormat="1" applyFont="1" applyFill="1" applyBorder="1" applyAlignment="1">
      <alignment vertical="center"/>
    </xf>
    <xf numFmtId="169" fontId="15" fillId="6" borderId="0" xfId="0" applyNumberFormat="1" applyFont="1" applyFill="1" applyBorder="1" applyAlignment="1">
      <alignment vertical="center"/>
    </xf>
    <xf numFmtId="169" fontId="19" fillId="0" borderId="0" xfId="3" applyNumberFormat="1" applyFont="1" applyFill="1" applyBorder="1" applyAlignment="1">
      <alignment vertical="center"/>
    </xf>
    <xf numFmtId="9" fontId="9" fillId="2" borderId="1" xfId="2" applyFont="1" applyFill="1" applyBorder="1" applyAlignment="1" applyProtection="1">
      <alignment horizontal="center" vertical="center"/>
      <protection locked="0"/>
    </xf>
    <xf numFmtId="0" fontId="9" fillId="6" borderId="1" xfId="2" applyNumberFormat="1" applyFont="1" applyFill="1" applyBorder="1" applyAlignment="1" applyProtection="1">
      <alignment horizontal="center" vertical="center"/>
      <protection locked="0"/>
    </xf>
    <xf numFmtId="0" fontId="48" fillId="6" borderId="7" xfId="0" applyFont="1" applyFill="1" applyBorder="1" applyAlignment="1">
      <alignment horizontal="left" vertical="center" wrapText="1"/>
    </xf>
    <xf numFmtId="9" fontId="11" fillId="0" borderId="0" xfId="2" applyFont="1" applyBorder="1" applyAlignment="1">
      <alignment horizontal="left" vertical="center" wrapText="1"/>
    </xf>
    <xf numFmtId="3" fontId="9" fillId="6" borderId="0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3" fontId="9" fillId="6" borderId="0" xfId="1" applyNumberFormat="1" applyFont="1" applyFill="1" applyBorder="1" applyAlignment="1" applyProtection="1">
      <alignment horizontal="center" vertical="center"/>
      <protection locked="0"/>
    </xf>
    <xf numFmtId="9" fontId="11" fillId="6" borderId="0" xfId="2" applyFont="1" applyFill="1" applyBorder="1" applyAlignment="1">
      <alignment horizontal="left" vertical="center" wrapText="1"/>
    </xf>
    <xf numFmtId="9" fontId="32" fillId="0" borderId="1" xfId="2" applyFont="1" applyBorder="1" applyAlignment="1">
      <alignment horizontal="center" vertical="center"/>
    </xf>
    <xf numFmtId="9" fontId="49" fillId="0" borderId="0" xfId="2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35" fillId="6" borderId="0" xfId="0" applyFont="1" applyFill="1" applyBorder="1"/>
    <xf numFmtId="0" fontId="48" fillId="6" borderId="0" xfId="0" applyFont="1" applyFill="1" applyBorder="1" applyAlignment="1">
      <alignment horizontal="left" vertical="center" wrapText="1"/>
    </xf>
    <xf numFmtId="9" fontId="10" fillId="0" borderId="0" xfId="2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9" fontId="51" fillId="0" borderId="0" xfId="2" applyFont="1" applyBorder="1" applyAlignment="1">
      <alignment horizontal="left" vertical="center" wrapText="1"/>
    </xf>
    <xf numFmtId="9" fontId="52" fillId="0" borderId="0" xfId="2" applyFont="1" applyBorder="1" applyAlignment="1">
      <alignment horizontal="center" vertical="center"/>
    </xf>
    <xf numFmtId="0" fontId="53" fillId="0" borderId="0" xfId="0" applyFont="1" applyBorder="1"/>
    <xf numFmtId="9" fontId="54" fillId="0" borderId="0" xfId="2" applyFont="1" applyBorder="1" applyAlignment="1">
      <alignment horizontal="left" vertical="center" indent="1"/>
    </xf>
    <xf numFmtId="0" fontId="53" fillId="0" borderId="0" xfId="0" applyFont="1"/>
    <xf numFmtId="9" fontId="51" fillId="0" borderId="0" xfId="2" applyFont="1" applyBorder="1" applyAlignment="1">
      <alignment vertical="center"/>
    </xf>
    <xf numFmtId="10" fontId="51" fillId="0" borderId="0" xfId="2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center"/>
    </xf>
    <xf numFmtId="0" fontId="55" fillId="0" borderId="0" xfId="0" applyFont="1" applyAlignment="1">
      <alignment wrapText="1"/>
    </xf>
    <xf numFmtId="3" fontId="51" fillId="6" borderId="0" xfId="1" applyNumberFormat="1" applyFont="1" applyFill="1" applyBorder="1" applyAlignment="1">
      <alignment horizontal="center" vertical="center"/>
    </xf>
    <xf numFmtId="9" fontId="54" fillId="0" borderId="0" xfId="2" applyFont="1" applyBorder="1" applyAlignment="1">
      <alignment horizontal="left" vertical="center"/>
    </xf>
    <xf numFmtId="10" fontId="56" fillId="6" borderId="0" xfId="2" applyNumberFormat="1" applyFont="1" applyFill="1" applyBorder="1" applyAlignment="1" applyProtection="1">
      <alignment vertical="center"/>
      <protection locked="0"/>
    </xf>
    <xf numFmtId="3" fontId="56" fillId="6" borderId="0" xfId="1" applyNumberFormat="1" applyFont="1" applyFill="1" applyBorder="1" applyAlignment="1" applyProtection="1">
      <alignment horizontal="center" vertical="center"/>
      <protection locked="0"/>
    </xf>
    <xf numFmtId="9" fontId="54" fillId="0" borderId="0" xfId="2" applyFont="1" applyBorder="1" applyAlignment="1">
      <alignment vertical="center" wrapText="1"/>
    </xf>
    <xf numFmtId="9" fontId="54" fillId="0" borderId="0" xfId="2" applyFont="1" applyBorder="1" applyAlignment="1">
      <alignment vertical="center"/>
    </xf>
    <xf numFmtId="10" fontId="52" fillId="0" borderId="3" xfId="2" applyNumberFormat="1" applyFont="1" applyFill="1" applyBorder="1" applyAlignment="1">
      <alignment horizontal="center" vertical="center"/>
    </xf>
    <xf numFmtId="9" fontId="56" fillId="0" borderId="0" xfId="2" applyFont="1" applyBorder="1" applyAlignment="1">
      <alignment horizontal="center" vertical="center"/>
    </xf>
    <xf numFmtId="3" fontId="56" fillId="0" borderId="0" xfId="1" applyNumberFormat="1" applyFont="1" applyBorder="1" applyAlignment="1">
      <alignment horizontal="center" vertical="center"/>
    </xf>
    <xf numFmtId="167" fontId="51" fillId="6" borderId="1" xfId="2" applyNumberFormat="1" applyFont="1" applyFill="1" applyBorder="1" applyAlignment="1" applyProtection="1">
      <alignment horizontal="center" vertical="center"/>
      <protection locked="0"/>
    </xf>
    <xf numFmtId="1" fontId="51" fillId="6" borderId="1" xfId="2" applyNumberFormat="1" applyFont="1" applyFill="1" applyBorder="1" applyAlignment="1" applyProtection="1">
      <alignment horizontal="center" vertical="center"/>
      <protection locked="0"/>
    </xf>
    <xf numFmtId="0" fontId="48" fillId="6" borderId="7" xfId="0" applyFont="1" applyFill="1" applyBorder="1" applyAlignment="1">
      <alignment horizontal="left" vertical="center" wrapText="1"/>
    </xf>
    <xf numFmtId="9" fontId="10" fillId="6" borderId="0" xfId="2" applyFont="1" applyFill="1" applyBorder="1" applyAlignment="1">
      <alignment horizontal="left" vertical="center" wrapText="1"/>
    </xf>
    <xf numFmtId="0" fontId="19" fillId="0" borderId="9" xfId="0" applyFont="1" applyBorder="1" applyAlignment="1">
      <alignment vertical="center"/>
    </xf>
    <xf numFmtId="0" fontId="21" fillId="6" borderId="11" xfId="0" applyFont="1" applyFill="1" applyBorder="1" applyAlignment="1">
      <alignment vertical="center"/>
    </xf>
    <xf numFmtId="0" fontId="15" fillId="6" borderId="11" xfId="0" applyFont="1" applyFill="1" applyBorder="1" applyAlignment="1">
      <alignment horizontal="center" vertical="center"/>
    </xf>
    <xf numFmtId="3" fontId="22" fillId="6" borderId="0" xfId="0" applyNumberFormat="1" applyFont="1" applyFill="1" applyBorder="1" applyAlignment="1">
      <alignment vertical="center"/>
    </xf>
    <xf numFmtId="9" fontId="15" fillId="6" borderId="0" xfId="4" applyFont="1" applyFill="1"/>
    <xf numFmtId="0" fontId="15" fillId="0" borderId="7" xfId="0" applyFont="1" applyFill="1" applyBorder="1" applyAlignment="1">
      <alignment horizontal="left" vertical="center"/>
    </xf>
    <xf numFmtId="0" fontId="15" fillId="0" borderId="7" xfId="0" applyFont="1" applyFill="1" applyBorder="1" applyAlignment="1">
      <alignment horizontal="center" vertical="center"/>
    </xf>
    <xf numFmtId="3" fontId="15" fillId="0" borderId="7" xfId="0" applyNumberFormat="1" applyFont="1" applyFill="1" applyBorder="1" applyAlignment="1">
      <alignment vertical="center"/>
    </xf>
    <xf numFmtId="3" fontId="22" fillId="0" borderId="7" xfId="0" applyNumberFormat="1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5" fillId="6" borderId="3" xfId="0" applyFont="1" applyFill="1" applyBorder="1" applyAlignment="1">
      <alignment horizontal="center" vertical="center"/>
    </xf>
    <xf numFmtId="3" fontId="15" fillId="6" borderId="3" xfId="0" applyNumberFormat="1" applyFont="1" applyFill="1" applyBorder="1" applyAlignment="1">
      <alignment vertical="center"/>
    </xf>
    <xf numFmtId="3" fontId="22" fillId="6" borderId="3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horizontal="left" vertical="center"/>
    </xf>
    <xf numFmtId="3" fontId="15" fillId="6" borderId="11" xfId="0" applyNumberFormat="1" applyFont="1" applyFill="1" applyBorder="1" applyAlignment="1">
      <alignment vertical="center"/>
    </xf>
    <xf numFmtId="3" fontId="22" fillId="6" borderId="11" xfId="0" applyNumberFormat="1" applyFont="1" applyFill="1" applyBorder="1" applyAlignment="1">
      <alignment vertical="center"/>
    </xf>
    <xf numFmtId="0" fontId="15" fillId="6" borderId="0" xfId="0" applyFont="1" applyFill="1" applyBorder="1" applyAlignment="1">
      <alignment horizontal="left" vertical="center"/>
    </xf>
    <xf numFmtId="3" fontId="15" fillId="6" borderId="0" xfId="4" applyNumberFormat="1" applyFont="1" applyFill="1"/>
    <xf numFmtId="0" fontId="21" fillId="6" borderId="0" xfId="0" applyFont="1" applyFill="1" applyBorder="1" applyAlignment="1">
      <alignment horizontal="left" vertical="center"/>
    </xf>
    <xf numFmtId="0" fontId="15" fillId="5" borderId="7" xfId="0" applyFont="1" applyFill="1" applyBorder="1" applyAlignment="1">
      <alignment horizontal="left" vertical="center"/>
    </xf>
    <xf numFmtId="0" fontId="15" fillId="5" borderId="7" xfId="0" applyFont="1" applyFill="1" applyBorder="1" applyAlignment="1">
      <alignment horizontal="center" vertical="center"/>
    </xf>
    <xf numFmtId="3" fontId="15" fillId="5" borderId="7" xfId="0" applyNumberFormat="1" applyFont="1" applyFill="1" applyBorder="1" applyAlignment="1">
      <alignment vertical="center"/>
    </xf>
    <xf numFmtId="3" fontId="22" fillId="5" borderId="7" xfId="0" applyNumberFormat="1" applyFont="1" applyFill="1" applyBorder="1" applyAlignment="1">
      <alignment vertical="center"/>
    </xf>
    <xf numFmtId="9" fontId="15" fillId="0" borderId="7" xfId="0" applyNumberFormat="1" applyFont="1" applyFill="1" applyBorder="1" applyAlignment="1">
      <alignment horizontal="left" vertical="center"/>
    </xf>
    <xf numFmtId="165" fontId="57" fillId="4" borderId="8" xfId="3" applyNumberFormat="1" applyFont="1" applyFill="1" applyBorder="1" applyAlignment="1">
      <alignment horizontal="center" vertical="center" wrapText="1"/>
    </xf>
    <xf numFmtId="0" fontId="0" fillId="6" borderId="0" xfId="0" applyFill="1"/>
    <xf numFmtId="167" fontId="9" fillId="2" borderId="1" xfId="2" applyNumberFormat="1" applyFont="1" applyFill="1" applyBorder="1" applyAlignment="1" applyProtection="1">
      <alignment horizontal="center" vertical="center"/>
      <protection locked="0"/>
    </xf>
    <xf numFmtId="9" fontId="11" fillId="0" borderId="0" xfId="2" applyFont="1" applyBorder="1" applyAlignment="1">
      <alignment horizontal="left" vertical="center" indent="1"/>
    </xf>
    <xf numFmtId="167" fontId="9" fillId="2" borderId="1" xfId="2" applyNumberFormat="1" applyFont="1" applyFill="1" applyBorder="1" applyAlignment="1" applyProtection="1">
      <alignment horizontal="center" vertical="center"/>
      <protection locked="0"/>
    </xf>
    <xf numFmtId="9" fontId="10" fillId="6" borderId="0" xfId="2" applyFont="1" applyFill="1" applyBorder="1" applyAlignment="1">
      <alignment horizontal="left" vertical="center" wrapText="1"/>
    </xf>
    <xf numFmtId="9" fontId="10" fillId="6" borderId="12" xfId="2" applyFont="1" applyFill="1" applyBorder="1" applyAlignment="1">
      <alignment horizontal="left" vertical="center" wrapText="1"/>
    </xf>
    <xf numFmtId="9" fontId="9" fillId="2" borderId="2" xfId="2" applyFont="1" applyFill="1" applyBorder="1" applyAlignment="1" applyProtection="1">
      <alignment horizontal="center" vertical="center"/>
      <protection locked="0"/>
    </xf>
    <xf numFmtId="9" fontId="9" fillId="2" borderId="4" xfId="2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0" fontId="50" fillId="2" borderId="0" xfId="0" applyFont="1" applyFill="1" applyAlignment="1">
      <alignment horizontal="center"/>
    </xf>
    <xf numFmtId="0" fontId="15" fillId="0" borderId="0" xfId="0" applyFont="1" applyFill="1" applyAlignment="1">
      <alignment horizontal="center" vertical="center"/>
    </xf>
    <xf numFmtId="0" fontId="58" fillId="0" borderId="0" xfId="0" applyFont="1" applyAlignment="1">
      <alignment horizontal="right" vertical="center"/>
    </xf>
    <xf numFmtId="170" fontId="59" fillId="0" borderId="1" xfId="1" applyNumberFormat="1" applyFont="1" applyBorder="1" applyAlignment="1">
      <alignment horizontal="center" vertical="center"/>
    </xf>
    <xf numFmtId="0" fontId="60" fillId="0" borderId="1" xfId="0" applyFont="1" applyBorder="1"/>
    <xf numFmtId="0" fontId="13" fillId="0" borderId="0" xfId="0" applyFont="1"/>
    <xf numFmtId="0" fontId="58" fillId="0" borderId="0" xfId="0" applyFont="1"/>
    <xf numFmtId="9" fontId="58" fillId="0" borderId="1" xfId="0" applyNumberFormat="1" applyFont="1" applyBorder="1" applyAlignment="1">
      <alignment horizontal="center" vertical="center"/>
    </xf>
    <xf numFmtId="9" fontId="60" fillId="0" borderId="1" xfId="0" applyNumberFormat="1" applyFont="1" applyBorder="1"/>
    <xf numFmtId="170" fontId="61" fillId="0" borderId="1" xfId="1" applyNumberFormat="1" applyFont="1" applyBorder="1" applyAlignment="1">
      <alignment horizontal="right" vertical="center"/>
    </xf>
    <xf numFmtId="0" fontId="61" fillId="0" borderId="0" xfId="0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" fontId="22" fillId="0" borderId="0" xfId="0" applyNumberFormat="1" applyFont="1" applyFill="1" applyBorder="1"/>
    <xf numFmtId="3" fontId="15" fillId="6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1" fillId="2" borderId="0" xfId="0" applyFont="1" applyFill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" fontId="6" fillId="6" borderId="2" xfId="2" applyNumberFormat="1" applyFont="1" applyFill="1" applyBorder="1" applyAlignment="1" applyProtection="1">
      <alignment horizontal="center" vertical="center"/>
      <protection locked="0"/>
    </xf>
    <xf numFmtId="1" fontId="6" fillId="6" borderId="4" xfId="2" applyNumberFormat="1" applyFont="1" applyFill="1" applyBorder="1" applyAlignment="1" applyProtection="1">
      <alignment horizontal="center" vertical="center"/>
      <protection locked="0"/>
    </xf>
    <xf numFmtId="0" fontId="5" fillId="0" borderId="3" xfId="0" applyFont="1" applyBorder="1" applyAlignment="1">
      <alignment horizontal="center" vertical="center" wrapText="1"/>
    </xf>
    <xf numFmtId="9" fontId="6" fillId="2" borderId="2" xfId="2" applyFont="1" applyFill="1" applyBorder="1" applyAlignment="1" applyProtection="1">
      <alignment horizontal="center" vertical="center"/>
      <protection locked="0"/>
    </xf>
    <xf numFmtId="9" fontId="6" fillId="2" borderId="3" xfId="2" applyFont="1" applyFill="1" applyBorder="1" applyAlignment="1" applyProtection="1">
      <alignment horizontal="center" vertical="center"/>
      <protection locked="0"/>
    </xf>
    <xf numFmtId="9" fontId="6" fillId="2" borderId="4" xfId="2" applyFont="1" applyFill="1" applyBorder="1" applyAlignment="1" applyProtection="1">
      <alignment horizontal="center" vertical="center"/>
      <protection locked="0"/>
    </xf>
    <xf numFmtId="1" fontId="6" fillId="2" borderId="1" xfId="2" applyNumberFormat="1" applyFont="1" applyFill="1" applyBorder="1" applyAlignment="1" applyProtection="1">
      <alignment horizontal="center" vertical="center"/>
      <protection locked="0"/>
    </xf>
    <xf numFmtId="3" fontId="6" fillId="2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168" fontId="6" fillId="2" borderId="1" xfId="2" applyNumberFormat="1" applyFont="1" applyFill="1" applyBorder="1" applyAlignment="1" applyProtection="1">
      <alignment horizontal="center" vertical="center"/>
      <protection locked="0"/>
    </xf>
    <xf numFmtId="2" fontId="6" fillId="2" borderId="1" xfId="2" applyNumberFormat="1" applyFont="1" applyFill="1" applyBorder="1" applyAlignment="1" applyProtection="1">
      <alignment horizontal="center" vertical="center"/>
      <protection locked="0"/>
    </xf>
    <xf numFmtId="9" fontId="10" fillId="0" borderId="0" xfId="2" applyFont="1" applyBorder="1" applyAlignment="1">
      <alignment horizontal="left" vertical="center" wrapText="1"/>
    </xf>
    <xf numFmtId="9" fontId="10" fillId="0" borderId="12" xfId="2" applyFont="1" applyBorder="1" applyAlignment="1">
      <alignment horizontal="left" vertical="center" wrapText="1"/>
    </xf>
    <xf numFmtId="9" fontId="9" fillId="2" borderId="2" xfId="2" applyFont="1" applyFill="1" applyBorder="1" applyAlignment="1" applyProtection="1">
      <alignment horizontal="center" vertical="center"/>
      <protection locked="0"/>
    </xf>
    <xf numFmtId="9" fontId="9" fillId="2" borderId="4" xfId="2" applyFont="1" applyFill="1" applyBorder="1" applyAlignment="1" applyProtection="1">
      <alignment horizontal="center" vertical="center"/>
      <protection locked="0"/>
    </xf>
    <xf numFmtId="0" fontId="9" fillId="6" borderId="2" xfId="2" applyNumberFormat="1" applyFont="1" applyFill="1" applyBorder="1" applyAlignment="1" applyProtection="1">
      <alignment horizontal="center" vertical="center"/>
      <protection locked="0"/>
    </xf>
    <xf numFmtId="0" fontId="9" fillId="6" borderId="4" xfId="2" applyNumberFormat="1" applyFont="1" applyFill="1" applyBorder="1" applyAlignment="1" applyProtection="1">
      <alignment horizontal="center" vertical="center"/>
      <protection locked="0"/>
    </xf>
    <xf numFmtId="9" fontId="10" fillId="6" borderId="0" xfId="2" applyFont="1" applyFill="1" applyBorder="1" applyAlignment="1">
      <alignment horizontal="left" vertical="center" wrapText="1"/>
    </xf>
    <xf numFmtId="9" fontId="10" fillId="6" borderId="12" xfId="2" applyFont="1" applyFill="1" applyBorder="1" applyAlignment="1">
      <alignment horizontal="left" vertical="center" wrapText="1"/>
    </xf>
    <xf numFmtId="9" fontId="10" fillId="0" borderId="0" xfId="2" applyFont="1" applyFill="1" applyBorder="1" applyAlignment="1">
      <alignment horizontal="left" vertical="center"/>
    </xf>
    <xf numFmtId="9" fontId="10" fillId="0" borderId="0" xfId="2" applyFont="1" applyBorder="1" applyAlignment="1">
      <alignment vertical="center"/>
    </xf>
    <xf numFmtId="9" fontId="10" fillId="0" borderId="12" xfId="2" applyFont="1" applyBorder="1" applyAlignment="1">
      <alignment vertical="center"/>
    </xf>
    <xf numFmtId="9" fontId="11" fillId="0" borderId="0" xfId="2" applyFont="1" applyBorder="1" applyAlignment="1">
      <alignment horizontal="left" vertical="center" wrapText="1"/>
    </xf>
    <xf numFmtId="9" fontId="11" fillId="0" borderId="12" xfId="2" applyFont="1" applyBorder="1" applyAlignment="1">
      <alignment horizontal="left" vertical="center" wrapText="1"/>
    </xf>
    <xf numFmtId="9" fontId="10" fillId="0" borderId="0" xfId="2" applyFont="1" applyBorder="1" applyAlignment="1">
      <alignment horizontal="left" vertical="center"/>
    </xf>
    <xf numFmtId="9" fontId="10" fillId="0" borderId="12" xfId="2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3" fontId="9" fillId="6" borderId="1" xfId="1" applyNumberFormat="1" applyFont="1" applyFill="1" applyBorder="1" applyAlignment="1" applyProtection="1">
      <alignment horizontal="center" vertical="center"/>
      <protection locked="0"/>
    </xf>
    <xf numFmtId="3" fontId="9" fillId="2" borderId="1" xfId="1" applyNumberFormat="1" applyFont="1" applyFill="1" applyBorder="1" applyAlignment="1" applyProtection="1">
      <alignment horizontal="center" vertical="center"/>
      <protection locked="0"/>
    </xf>
    <xf numFmtId="3" fontId="9" fillId="6" borderId="2" xfId="1" applyNumberFormat="1" applyFont="1" applyFill="1" applyBorder="1" applyAlignment="1" applyProtection="1">
      <alignment horizontal="center" vertical="center"/>
      <protection locked="0"/>
    </xf>
    <xf numFmtId="3" fontId="9" fillId="6" borderId="4" xfId="1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Border="1" applyAlignment="1">
      <alignment horizontal="left" vertical="center"/>
    </xf>
    <xf numFmtId="0" fontId="34" fillId="0" borderId="12" xfId="0" applyFont="1" applyBorder="1" applyAlignment="1">
      <alignment horizontal="left" vertical="center"/>
    </xf>
    <xf numFmtId="0" fontId="48" fillId="6" borderId="7" xfId="0" applyFont="1" applyFill="1" applyBorder="1" applyAlignment="1">
      <alignment horizontal="left" vertical="center" wrapText="1"/>
    </xf>
    <xf numFmtId="3" fontId="9" fillId="2" borderId="2" xfId="1" applyNumberFormat="1" applyFont="1" applyFill="1" applyBorder="1" applyAlignment="1">
      <alignment horizontal="center" vertical="center"/>
    </xf>
    <xf numFmtId="3" fontId="9" fillId="2" borderId="4" xfId="1" applyNumberFormat="1" applyFont="1" applyFill="1" applyBorder="1" applyAlignment="1">
      <alignment horizontal="center" vertical="center"/>
    </xf>
    <xf numFmtId="3" fontId="32" fillId="6" borderId="2" xfId="1" applyNumberFormat="1" applyFont="1" applyFill="1" applyBorder="1" applyAlignment="1">
      <alignment horizontal="center" vertical="center"/>
    </xf>
    <xf numFmtId="3" fontId="32" fillId="6" borderId="4" xfId="1" applyNumberFormat="1" applyFont="1" applyFill="1" applyBorder="1" applyAlignment="1">
      <alignment horizontal="center" vertical="center"/>
    </xf>
    <xf numFmtId="3" fontId="9" fillId="2" borderId="1" xfId="1" applyNumberFormat="1" applyFont="1" applyFill="1" applyBorder="1" applyAlignment="1">
      <alignment horizontal="center" vertical="center"/>
    </xf>
    <xf numFmtId="3" fontId="9" fillId="6" borderId="1" xfId="1" applyNumberFormat="1" applyFont="1" applyFill="1" applyBorder="1" applyAlignment="1">
      <alignment horizontal="center" vertical="center"/>
    </xf>
    <xf numFmtId="9" fontId="11" fillId="0" borderId="0" xfId="2" applyFont="1" applyBorder="1" applyAlignment="1">
      <alignment horizontal="left" vertical="center" indent="1"/>
    </xf>
    <xf numFmtId="0" fontId="2" fillId="0" borderId="0" xfId="0" applyFont="1" applyBorder="1" applyAlignment="1">
      <alignment horizontal="center" vertical="center"/>
    </xf>
    <xf numFmtId="167" fontId="9" fillId="2" borderId="1" xfId="2" applyNumberFormat="1" applyFont="1" applyFill="1" applyBorder="1" applyAlignment="1" applyProtection="1">
      <alignment horizontal="center" vertical="center"/>
      <protection locked="0"/>
    </xf>
    <xf numFmtId="3" fontId="9" fillId="7" borderId="1" xfId="1" applyNumberFormat="1" applyFont="1" applyFill="1" applyBorder="1" applyAlignment="1" applyProtection="1">
      <alignment horizontal="center" vertical="center"/>
      <protection locked="0"/>
    </xf>
    <xf numFmtId="9" fontId="11" fillId="0" borderId="0" xfId="2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9" fontId="6" fillId="2" borderId="1" xfId="2" applyFont="1" applyFill="1" applyBorder="1" applyAlignment="1" applyProtection="1">
      <alignment horizontal="center" vertical="center"/>
      <protection locked="0"/>
    </xf>
    <xf numFmtId="167" fontId="9" fillId="6" borderId="2" xfId="2" applyNumberFormat="1" applyFont="1" applyFill="1" applyBorder="1" applyAlignment="1" applyProtection="1">
      <alignment horizontal="center" vertical="center"/>
      <protection locked="0"/>
    </xf>
    <xf numFmtId="167" fontId="9" fillId="6" borderId="4" xfId="2" applyNumberFormat="1" applyFont="1" applyFill="1" applyBorder="1" applyAlignment="1" applyProtection="1">
      <alignment horizontal="center" vertical="center"/>
      <protection locked="0"/>
    </xf>
    <xf numFmtId="3" fontId="9" fillId="6" borderId="1" xfId="2" applyNumberFormat="1" applyFont="1" applyFill="1" applyBorder="1" applyAlignment="1" applyProtection="1">
      <alignment horizontal="center" vertical="center"/>
      <protection locked="0"/>
    </xf>
    <xf numFmtId="0" fontId="48" fillId="6" borderId="7" xfId="0" applyFont="1" applyFill="1" applyBorder="1" applyAlignment="1">
      <alignment horizontal="left" wrapText="1"/>
    </xf>
    <xf numFmtId="9" fontId="10" fillId="0" borderId="12" xfId="2" applyFont="1" applyFill="1" applyBorder="1" applyAlignment="1">
      <alignment horizontal="left" vertical="center"/>
    </xf>
    <xf numFmtId="3" fontId="51" fillId="6" borderId="13" xfId="1" applyNumberFormat="1" applyFont="1" applyFill="1" applyBorder="1" applyAlignment="1">
      <alignment horizontal="center" vertical="center"/>
    </xf>
    <xf numFmtId="9" fontId="54" fillId="0" borderId="0" xfId="2" applyFont="1" applyBorder="1" applyAlignment="1">
      <alignment horizontal="left" vertical="center" wrapText="1"/>
    </xf>
    <xf numFmtId="9" fontId="54" fillId="0" borderId="12" xfId="2" applyFont="1" applyBorder="1" applyAlignment="1">
      <alignment horizontal="left" vertical="center" wrapText="1"/>
    </xf>
    <xf numFmtId="3" fontId="9" fillId="0" borderId="1" xfId="1" applyNumberFormat="1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" fontId="9" fillId="6" borderId="1" xfId="2" applyNumberFormat="1" applyFont="1" applyFill="1" applyBorder="1" applyAlignment="1" applyProtection="1">
      <alignment horizontal="center" vertical="center"/>
      <protection locked="0"/>
    </xf>
    <xf numFmtId="168" fontId="9" fillId="6" borderId="1" xfId="2" applyNumberFormat="1" applyFont="1" applyFill="1" applyBorder="1" applyAlignment="1" applyProtection="1">
      <alignment horizontal="center" vertical="center"/>
      <protection locked="0"/>
    </xf>
    <xf numFmtId="3" fontId="51" fillId="6" borderId="1" xfId="1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9" fontId="51" fillId="0" borderId="3" xfId="2" applyFont="1" applyBorder="1" applyAlignment="1">
      <alignment horizontal="left" vertical="center" wrapText="1"/>
    </xf>
    <xf numFmtId="3" fontId="9" fillId="6" borderId="2" xfId="1" applyNumberFormat="1" applyFont="1" applyFill="1" applyBorder="1" applyAlignment="1">
      <alignment horizontal="center" vertical="center"/>
    </xf>
    <xf numFmtId="3" fontId="9" fillId="6" borderId="4" xfId="1" applyNumberFormat="1" applyFont="1" applyFill="1" applyBorder="1" applyAlignment="1">
      <alignment horizontal="center" vertical="center"/>
    </xf>
    <xf numFmtId="3" fontId="9" fillId="6" borderId="13" xfId="1" applyNumberFormat="1" applyFont="1" applyFill="1" applyBorder="1" applyAlignment="1">
      <alignment horizontal="center" vertical="center"/>
    </xf>
    <xf numFmtId="3" fontId="51" fillId="0" borderId="1" xfId="1" applyNumberFormat="1" applyFont="1" applyBorder="1" applyAlignment="1">
      <alignment horizontal="center" vertical="center"/>
    </xf>
    <xf numFmtId="0" fontId="36" fillId="0" borderId="0" xfId="0" applyFont="1" applyAlignment="1"/>
    <xf numFmtId="3" fontId="8" fillId="0" borderId="1" xfId="1" applyNumberFormat="1" applyFont="1" applyBorder="1" applyAlignment="1">
      <alignment horizontal="center" vertical="center"/>
    </xf>
    <xf numFmtId="3" fontId="8" fillId="0" borderId="1" xfId="1" applyNumberFormat="1" applyFont="1" applyBorder="1" applyAlignment="1">
      <alignment horizontal="center" vertical="center" wrapText="1"/>
    </xf>
    <xf numFmtId="3" fontId="32" fillId="0" borderId="11" xfId="1" applyNumberFormat="1" applyFont="1" applyBorder="1" applyAlignment="1">
      <alignment horizontal="center" vertical="center"/>
    </xf>
    <xf numFmtId="3" fontId="32" fillId="6" borderId="1" xfId="1" applyNumberFormat="1" applyFont="1" applyFill="1" applyBorder="1" applyAlignment="1">
      <alignment horizontal="center" vertical="center"/>
    </xf>
    <xf numFmtId="3" fontId="32" fillId="6" borderId="2" xfId="2" applyNumberFormat="1" applyFont="1" applyFill="1" applyBorder="1" applyAlignment="1" applyProtection="1">
      <alignment horizontal="center" vertical="center"/>
      <protection locked="0"/>
    </xf>
    <xf numFmtId="3" fontId="32" fillId="6" borderId="4" xfId="2" applyNumberFormat="1" applyFont="1" applyFill="1" applyBorder="1" applyAlignment="1" applyProtection="1">
      <alignment horizontal="center" vertical="center"/>
      <protection locked="0"/>
    </xf>
    <xf numFmtId="9" fontId="32" fillId="0" borderId="1" xfId="2" applyFont="1" applyBorder="1" applyAlignment="1">
      <alignment horizontal="center" vertical="center"/>
    </xf>
    <xf numFmtId="0" fontId="50" fillId="2" borderId="0" xfId="0" applyFont="1" applyFill="1" applyAlignment="1">
      <alignment horizontal="center"/>
    </xf>
    <xf numFmtId="0" fontId="44" fillId="4" borderId="0" xfId="0" applyFont="1" applyFill="1" applyBorder="1" applyAlignment="1">
      <alignment horizontal="center" vertical="center" wrapText="1"/>
    </xf>
    <xf numFmtId="0" fontId="44" fillId="4" borderId="14" xfId="0" applyFont="1" applyFill="1" applyBorder="1" applyAlignment="1">
      <alignment horizontal="center" vertical="center" wrapText="1"/>
    </xf>
    <xf numFmtId="0" fontId="40" fillId="6" borderId="2" xfId="3" applyFont="1" applyFill="1" applyBorder="1" applyAlignment="1">
      <alignment horizontal="center" vertical="center" wrapText="1"/>
    </xf>
    <xf numFmtId="0" fontId="40" fillId="6" borderId="3" xfId="3" applyFont="1" applyFill="1" applyBorder="1" applyAlignment="1">
      <alignment horizontal="center" vertical="center" wrapText="1"/>
    </xf>
    <xf numFmtId="0" fontId="40" fillId="6" borderId="4" xfId="3" applyFont="1" applyFill="1" applyBorder="1" applyAlignment="1">
      <alignment horizontal="center" vertical="center" wrapText="1"/>
    </xf>
    <xf numFmtId="0" fontId="40" fillId="0" borderId="2" xfId="3" applyFont="1" applyBorder="1" applyAlignment="1">
      <alignment horizontal="center" vertical="center" wrapText="1"/>
    </xf>
    <xf numFmtId="0" fontId="40" fillId="0" borderId="3" xfId="3" applyFont="1" applyBorder="1" applyAlignment="1">
      <alignment horizontal="center" vertical="center" wrapText="1"/>
    </xf>
    <xf numFmtId="0" fontId="40" fillId="0" borderId="4" xfId="3" applyFont="1" applyBorder="1" applyAlignment="1">
      <alignment horizontal="center" vertical="center" wrapText="1"/>
    </xf>
    <xf numFmtId="0" fontId="40" fillId="0" borderId="1" xfId="3" applyFont="1" applyBorder="1" applyAlignment="1">
      <alignment horizontal="center" vertical="center" wrapText="1"/>
    </xf>
  </cellXfs>
  <cellStyles count="6">
    <cellStyle name="Обычный" xfId="0" builtinId="0"/>
    <cellStyle name="Обычный_7.1. ТЭО (RH)" xfId="3"/>
    <cellStyle name="Процентный" xfId="2" builtinId="5"/>
    <cellStyle name="Процентный 2" xfId="4"/>
    <cellStyle name="Финансовый" xfId="1" builtinId="3"/>
    <cellStyle name="Финансовый 2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8.png"/><Relationship Id="rId18" Type="http://schemas.openxmlformats.org/officeDocument/2006/relationships/image" Target="../media/image12.png"/><Relationship Id="rId26" Type="http://schemas.openxmlformats.org/officeDocument/2006/relationships/image" Target="../media/image39.jpeg"/><Relationship Id="rId3" Type="http://schemas.openxmlformats.org/officeDocument/2006/relationships/image" Target="../media/image36.png"/><Relationship Id="rId21" Type="http://schemas.openxmlformats.org/officeDocument/2006/relationships/image" Target="../media/image23.png"/><Relationship Id="rId34" Type="http://schemas.openxmlformats.org/officeDocument/2006/relationships/image" Target="../media/image32.png"/><Relationship Id="rId7" Type="http://schemas.openxmlformats.org/officeDocument/2006/relationships/image" Target="../media/image18.png"/><Relationship Id="rId12" Type="http://schemas.openxmlformats.org/officeDocument/2006/relationships/image" Target="../media/image7.png"/><Relationship Id="rId17" Type="http://schemas.openxmlformats.org/officeDocument/2006/relationships/image" Target="../media/image20.png"/><Relationship Id="rId25" Type="http://schemas.openxmlformats.org/officeDocument/2006/relationships/image" Target="../media/image2.png"/><Relationship Id="rId33" Type="http://schemas.openxmlformats.org/officeDocument/2006/relationships/image" Target="../media/image46.jpeg"/><Relationship Id="rId2" Type="http://schemas.openxmlformats.org/officeDocument/2006/relationships/image" Target="../media/image15.png"/><Relationship Id="rId16" Type="http://schemas.openxmlformats.org/officeDocument/2006/relationships/image" Target="../media/image11.png"/><Relationship Id="rId20" Type="http://schemas.openxmlformats.org/officeDocument/2006/relationships/image" Target="../media/image22.png"/><Relationship Id="rId29" Type="http://schemas.openxmlformats.org/officeDocument/2006/relationships/image" Target="../media/image42.jpe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6.png"/><Relationship Id="rId24" Type="http://schemas.openxmlformats.org/officeDocument/2006/relationships/image" Target="../media/image38.png"/><Relationship Id="rId32" Type="http://schemas.openxmlformats.org/officeDocument/2006/relationships/image" Target="../media/image45.jpeg"/><Relationship Id="rId37" Type="http://schemas.openxmlformats.org/officeDocument/2006/relationships/image" Target="../media/image35.png"/><Relationship Id="rId5" Type="http://schemas.openxmlformats.org/officeDocument/2006/relationships/image" Target="../media/image13.png"/><Relationship Id="rId15" Type="http://schemas.openxmlformats.org/officeDocument/2006/relationships/image" Target="../media/image10.png"/><Relationship Id="rId23" Type="http://schemas.openxmlformats.org/officeDocument/2006/relationships/image" Target="../media/image25.png"/><Relationship Id="rId28" Type="http://schemas.openxmlformats.org/officeDocument/2006/relationships/image" Target="../media/image41.jpeg"/><Relationship Id="rId36" Type="http://schemas.openxmlformats.org/officeDocument/2006/relationships/image" Target="../media/image34.png"/><Relationship Id="rId10" Type="http://schemas.openxmlformats.org/officeDocument/2006/relationships/image" Target="../media/image5.png"/><Relationship Id="rId19" Type="http://schemas.openxmlformats.org/officeDocument/2006/relationships/image" Target="../media/image21.png"/><Relationship Id="rId31" Type="http://schemas.openxmlformats.org/officeDocument/2006/relationships/image" Target="../media/image44.jpeg"/><Relationship Id="rId4" Type="http://schemas.openxmlformats.org/officeDocument/2006/relationships/image" Target="../media/image16.png"/><Relationship Id="rId9" Type="http://schemas.openxmlformats.org/officeDocument/2006/relationships/image" Target="../media/image37.png"/><Relationship Id="rId14" Type="http://schemas.openxmlformats.org/officeDocument/2006/relationships/image" Target="../media/image9.png"/><Relationship Id="rId22" Type="http://schemas.openxmlformats.org/officeDocument/2006/relationships/image" Target="../media/image24.png"/><Relationship Id="rId27" Type="http://schemas.openxmlformats.org/officeDocument/2006/relationships/image" Target="../media/image40.jpeg"/><Relationship Id="rId30" Type="http://schemas.openxmlformats.org/officeDocument/2006/relationships/image" Target="../media/image43.jpeg"/><Relationship Id="rId35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189222</xdr:colOff>
      <xdr:row>23</xdr:row>
      <xdr:rowOff>32338</xdr:rowOff>
    </xdr:from>
    <xdr:to>
      <xdr:col>0</xdr:col>
      <xdr:colOff>693222</xdr:colOff>
      <xdr:row>24</xdr:row>
      <xdr:rowOff>1473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9222" y="10240897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182097</xdr:colOff>
      <xdr:row>18</xdr:row>
      <xdr:rowOff>13207</xdr:rowOff>
    </xdr:from>
    <xdr:to>
      <xdr:col>0</xdr:col>
      <xdr:colOff>686097</xdr:colOff>
      <xdr:row>18</xdr:row>
      <xdr:rowOff>517207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097" y="9168413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25</xdr:row>
      <xdr:rowOff>15084</xdr:rowOff>
    </xdr:from>
    <xdr:to>
      <xdr:col>0</xdr:col>
      <xdr:colOff>672089</xdr:colOff>
      <xdr:row>25</xdr:row>
      <xdr:rowOff>519084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8089" y="12441546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258855</xdr:colOff>
      <xdr:row>46</xdr:row>
      <xdr:rowOff>19040</xdr:rowOff>
    </xdr:from>
    <xdr:to>
      <xdr:col>0</xdr:col>
      <xdr:colOff>762855</xdr:colOff>
      <xdr:row>46</xdr:row>
      <xdr:rowOff>522480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8855" y="22206687"/>
          <a:ext cx="504000" cy="503440"/>
        </a:xfrm>
        <a:prstGeom prst="rect">
          <a:avLst/>
        </a:prstGeom>
      </xdr:spPr>
    </xdr:pic>
    <xdr:clientData/>
  </xdr:twoCellAnchor>
  <xdr:twoCellAnchor editAs="oneCell">
    <xdr:from>
      <xdr:col>0</xdr:col>
      <xdr:colOff>249327</xdr:colOff>
      <xdr:row>44</xdr:row>
      <xdr:rowOff>22333</xdr:rowOff>
    </xdr:from>
    <xdr:to>
      <xdr:col>0</xdr:col>
      <xdr:colOff>753327</xdr:colOff>
      <xdr:row>44</xdr:row>
      <xdr:rowOff>525773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327" y="21134215"/>
          <a:ext cx="504000" cy="503440"/>
        </a:xfrm>
        <a:prstGeom prst="rect">
          <a:avLst/>
        </a:prstGeom>
      </xdr:spPr>
    </xdr:pic>
    <xdr:clientData/>
  </xdr:twoCellAnchor>
  <xdr:twoCellAnchor editAs="oneCell">
    <xdr:from>
      <xdr:col>0</xdr:col>
      <xdr:colOff>252131</xdr:colOff>
      <xdr:row>45</xdr:row>
      <xdr:rowOff>9250</xdr:rowOff>
    </xdr:from>
    <xdr:to>
      <xdr:col>0</xdr:col>
      <xdr:colOff>756131</xdr:colOff>
      <xdr:row>45</xdr:row>
      <xdr:rowOff>512689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2131" y="21659015"/>
          <a:ext cx="504000" cy="503439"/>
        </a:xfrm>
        <a:prstGeom prst="rect">
          <a:avLst/>
        </a:prstGeom>
      </xdr:spPr>
    </xdr:pic>
    <xdr:clientData/>
  </xdr:twoCellAnchor>
  <xdr:twoCellAnchor editAs="oneCell">
    <xdr:from>
      <xdr:col>0</xdr:col>
      <xdr:colOff>294154</xdr:colOff>
      <xdr:row>31</xdr:row>
      <xdr:rowOff>22416</xdr:rowOff>
    </xdr:from>
    <xdr:to>
      <xdr:col>0</xdr:col>
      <xdr:colOff>798154</xdr:colOff>
      <xdr:row>31</xdr:row>
      <xdr:rowOff>528097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4154" y="15060710"/>
          <a:ext cx="504000" cy="505681"/>
        </a:xfrm>
        <a:prstGeom prst="rect">
          <a:avLst/>
        </a:prstGeom>
      </xdr:spPr>
    </xdr:pic>
    <xdr:clientData/>
  </xdr:twoCellAnchor>
  <xdr:twoCellAnchor editAs="oneCell">
    <xdr:from>
      <xdr:col>0</xdr:col>
      <xdr:colOff>249328</xdr:colOff>
      <xdr:row>42</xdr:row>
      <xdr:rowOff>23893</xdr:rowOff>
    </xdr:from>
    <xdr:to>
      <xdr:col>0</xdr:col>
      <xdr:colOff>753328</xdr:colOff>
      <xdr:row>42</xdr:row>
      <xdr:rowOff>527333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328" y="20060011"/>
          <a:ext cx="504000" cy="503440"/>
        </a:xfrm>
        <a:prstGeom prst="rect">
          <a:avLst/>
        </a:prstGeom>
      </xdr:spPr>
    </xdr:pic>
    <xdr:clientData/>
  </xdr:twoCellAnchor>
  <xdr:twoCellAnchor editAs="oneCell">
    <xdr:from>
      <xdr:col>0</xdr:col>
      <xdr:colOff>249330</xdr:colOff>
      <xdr:row>39</xdr:row>
      <xdr:rowOff>7841</xdr:rowOff>
    </xdr:from>
    <xdr:to>
      <xdr:col>0</xdr:col>
      <xdr:colOff>753330</xdr:colOff>
      <xdr:row>39</xdr:row>
      <xdr:rowOff>511280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330" y="18968194"/>
          <a:ext cx="504000" cy="503439"/>
        </a:xfrm>
        <a:prstGeom prst="rect">
          <a:avLst/>
        </a:prstGeom>
      </xdr:spPr>
    </xdr:pic>
    <xdr:clientData/>
  </xdr:twoCellAnchor>
  <xdr:twoCellAnchor editAs="oneCell">
    <xdr:from>
      <xdr:col>0</xdr:col>
      <xdr:colOff>258855</xdr:colOff>
      <xdr:row>43</xdr:row>
      <xdr:rowOff>16853</xdr:rowOff>
    </xdr:from>
    <xdr:to>
      <xdr:col>0</xdr:col>
      <xdr:colOff>762855</xdr:colOff>
      <xdr:row>43</xdr:row>
      <xdr:rowOff>520293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58855" y="20590853"/>
          <a:ext cx="504000" cy="503440"/>
        </a:xfrm>
        <a:prstGeom prst="rect">
          <a:avLst/>
        </a:prstGeom>
      </xdr:spPr>
    </xdr:pic>
    <xdr:clientData/>
  </xdr:twoCellAnchor>
  <xdr:twoCellAnchor editAs="oneCell">
    <xdr:from>
      <xdr:col>0</xdr:col>
      <xdr:colOff>249330</xdr:colOff>
      <xdr:row>41</xdr:row>
      <xdr:rowOff>23822</xdr:rowOff>
    </xdr:from>
    <xdr:to>
      <xdr:col>0</xdr:col>
      <xdr:colOff>753330</xdr:colOff>
      <xdr:row>41</xdr:row>
      <xdr:rowOff>527261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9330" y="19522057"/>
          <a:ext cx="504000" cy="503439"/>
        </a:xfrm>
        <a:prstGeom prst="rect">
          <a:avLst/>
        </a:prstGeom>
      </xdr:spPr>
    </xdr:pic>
    <xdr:clientData/>
  </xdr:twoCellAnchor>
  <xdr:twoCellAnchor editAs="oneCell">
    <xdr:from>
      <xdr:col>0</xdr:col>
      <xdr:colOff>246529</xdr:colOff>
      <xdr:row>38</xdr:row>
      <xdr:rowOff>22411</xdr:rowOff>
    </xdr:from>
    <xdr:to>
      <xdr:col>0</xdr:col>
      <xdr:colOff>750529</xdr:colOff>
      <xdr:row>38</xdr:row>
      <xdr:rowOff>526411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6529" y="17369117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72</xdr:row>
      <xdr:rowOff>11206</xdr:rowOff>
    </xdr:from>
    <xdr:to>
      <xdr:col>0</xdr:col>
      <xdr:colOff>750530</xdr:colOff>
      <xdr:row>72</xdr:row>
      <xdr:rowOff>515206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6530" y="2387973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252695</xdr:colOff>
      <xdr:row>87</xdr:row>
      <xdr:rowOff>27858</xdr:rowOff>
    </xdr:from>
    <xdr:to>
      <xdr:col>0</xdr:col>
      <xdr:colOff>756695</xdr:colOff>
      <xdr:row>88</xdr:row>
      <xdr:rowOff>1179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2695" y="43480908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271745</xdr:colOff>
      <xdr:row>75</xdr:row>
      <xdr:rowOff>27139</xdr:rowOff>
    </xdr:from>
    <xdr:to>
      <xdr:col>0</xdr:col>
      <xdr:colOff>775745</xdr:colOff>
      <xdr:row>76</xdr:row>
      <xdr:rowOff>460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1745" y="2856852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262220</xdr:colOff>
      <xdr:row>74</xdr:row>
      <xdr:rowOff>22339</xdr:rowOff>
    </xdr:from>
    <xdr:to>
      <xdr:col>0</xdr:col>
      <xdr:colOff>766220</xdr:colOff>
      <xdr:row>74</xdr:row>
      <xdr:rowOff>526339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2220" y="28025839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276395</xdr:colOff>
      <xdr:row>86</xdr:row>
      <xdr:rowOff>25383</xdr:rowOff>
    </xdr:from>
    <xdr:to>
      <xdr:col>0</xdr:col>
      <xdr:colOff>780395</xdr:colOff>
      <xdr:row>86</xdr:row>
      <xdr:rowOff>529383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395" y="42945033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264470</xdr:colOff>
      <xdr:row>88</xdr:row>
      <xdr:rowOff>22983</xdr:rowOff>
    </xdr:from>
    <xdr:to>
      <xdr:col>0</xdr:col>
      <xdr:colOff>768470</xdr:colOff>
      <xdr:row>88</xdr:row>
      <xdr:rowOff>526983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470" y="44009433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271745</xdr:colOff>
      <xdr:row>73</xdr:row>
      <xdr:rowOff>11206</xdr:rowOff>
    </xdr:from>
    <xdr:to>
      <xdr:col>0</xdr:col>
      <xdr:colOff>775745</xdr:colOff>
      <xdr:row>73</xdr:row>
      <xdr:rowOff>515206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1745" y="27476824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271745</xdr:colOff>
      <xdr:row>79</xdr:row>
      <xdr:rowOff>20733</xdr:rowOff>
    </xdr:from>
    <xdr:to>
      <xdr:col>0</xdr:col>
      <xdr:colOff>775745</xdr:colOff>
      <xdr:row>79</xdr:row>
      <xdr:rowOff>524733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1745" y="39206583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271745</xdr:colOff>
      <xdr:row>81</xdr:row>
      <xdr:rowOff>20733</xdr:rowOff>
    </xdr:from>
    <xdr:to>
      <xdr:col>0</xdr:col>
      <xdr:colOff>775745</xdr:colOff>
      <xdr:row>81</xdr:row>
      <xdr:rowOff>524733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1745" y="31251527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268944</xdr:colOff>
      <xdr:row>76</xdr:row>
      <xdr:rowOff>24095</xdr:rowOff>
    </xdr:from>
    <xdr:to>
      <xdr:col>0</xdr:col>
      <xdr:colOff>772944</xdr:colOff>
      <xdr:row>76</xdr:row>
      <xdr:rowOff>528095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68944" y="2910336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280149</xdr:colOff>
      <xdr:row>82</xdr:row>
      <xdr:rowOff>24095</xdr:rowOff>
    </xdr:from>
    <xdr:to>
      <xdr:col>0</xdr:col>
      <xdr:colOff>784149</xdr:colOff>
      <xdr:row>82</xdr:row>
      <xdr:rowOff>528095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80149" y="32330654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268944</xdr:colOff>
      <xdr:row>83</xdr:row>
      <xdr:rowOff>24095</xdr:rowOff>
    </xdr:from>
    <xdr:to>
      <xdr:col>0</xdr:col>
      <xdr:colOff>772944</xdr:colOff>
      <xdr:row>83</xdr:row>
      <xdr:rowOff>528095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8944" y="32868536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257738</xdr:colOff>
      <xdr:row>78</xdr:row>
      <xdr:rowOff>24095</xdr:rowOff>
    </xdr:from>
    <xdr:to>
      <xdr:col>0</xdr:col>
      <xdr:colOff>761738</xdr:colOff>
      <xdr:row>78</xdr:row>
      <xdr:rowOff>528095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57738" y="29641242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40</xdr:row>
      <xdr:rowOff>33617</xdr:rowOff>
    </xdr:from>
    <xdr:to>
      <xdr:col>0</xdr:col>
      <xdr:colOff>708123</xdr:colOff>
      <xdr:row>41</xdr:row>
      <xdr:rowOff>2751</xdr:rowOff>
    </xdr:to>
    <xdr:pic>
      <xdr:nvPicPr>
        <xdr:cNvPr id="40" name="Рисунок 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1" y="22008352"/>
          <a:ext cx="517622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257735</xdr:colOff>
      <xdr:row>36</xdr:row>
      <xdr:rowOff>257736</xdr:rowOff>
    </xdr:from>
    <xdr:to>
      <xdr:col>0</xdr:col>
      <xdr:colOff>761735</xdr:colOff>
      <xdr:row>37</xdr:row>
      <xdr:rowOff>223853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735" y="19005177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26</xdr:row>
      <xdr:rowOff>22412</xdr:rowOff>
    </xdr:from>
    <xdr:to>
      <xdr:col>0</xdr:col>
      <xdr:colOff>677318</xdr:colOff>
      <xdr:row>26</xdr:row>
      <xdr:rowOff>526412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79294" y="15632206"/>
          <a:ext cx="498024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183173</xdr:colOff>
      <xdr:row>21</xdr:row>
      <xdr:rowOff>26291</xdr:rowOff>
    </xdr:from>
    <xdr:to>
      <xdr:col>0</xdr:col>
      <xdr:colOff>687173</xdr:colOff>
      <xdr:row>21</xdr:row>
      <xdr:rowOff>530291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83173" y="1031329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183173</xdr:colOff>
      <xdr:row>22</xdr:row>
      <xdr:rowOff>21981</xdr:rowOff>
    </xdr:from>
    <xdr:to>
      <xdr:col>0</xdr:col>
      <xdr:colOff>687173</xdr:colOff>
      <xdr:row>22</xdr:row>
      <xdr:rowOff>525981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83173" y="10843846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175846</xdr:colOff>
      <xdr:row>24</xdr:row>
      <xdr:rowOff>14653</xdr:rowOff>
    </xdr:from>
    <xdr:to>
      <xdr:col>0</xdr:col>
      <xdr:colOff>679846</xdr:colOff>
      <xdr:row>24</xdr:row>
      <xdr:rowOff>518653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75846" y="11906249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</xdr:row>
      <xdr:rowOff>14653</xdr:rowOff>
    </xdr:from>
    <xdr:to>
      <xdr:col>0</xdr:col>
      <xdr:colOff>694500</xdr:colOff>
      <xdr:row>20</xdr:row>
      <xdr:rowOff>518653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90500" y="9766788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77</xdr:row>
      <xdr:rowOff>13607</xdr:rowOff>
    </xdr:from>
    <xdr:to>
      <xdr:col>0</xdr:col>
      <xdr:colOff>762535</xdr:colOff>
      <xdr:row>77</xdr:row>
      <xdr:rowOff>517607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58535" y="38113607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80</xdr:row>
      <xdr:rowOff>19050</xdr:rowOff>
    </xdr:from>
    <xdr:to>
      <xdr:col>0</xdr:col>
      <xdr:colOff>761175</xdr:colOff>
      <xdr:row>80</xdr:row>
      <xdr:rowOff>523050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57175" y="397383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84</xdr:row>
      <xdr:rowOff>19050</xdr:rowOff>
    </xdr:from>
    <xdr:to>
      <xdr:col>0</xdr:col>
      <xdr:colOff>789750</xdr:colOff>
      <xdr:row>84</xdr:row>
      <xdr:rowOff>523050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85750" y="418719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85</xdr:row>
      <xdr:rowOff>28575</xdr:rowOff>
    </xdr:from>
    <xdr:to>
      <xdr:col>0</xdr:col>
      <xdr:colOff>780225</xdr:colOff>
      <xdr:row>86</xdr:row>
      <xdr:rowOff>1897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76225" y="42414825"/>
          <a:ext cx="50400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82</xdr:row>
      <xdr:rowOff>26175</xdr:rowOff>
    </xdr:from>
    <xdr:to>
      <xdr:col>0</xdr:col>
      <xdr:colOff>542100</xdr:colOff>
      <xdr:row>82</xdr:row>
      <xdr:rowOff>530175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25657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70</xdr:row>
      <xdr:rowOff>14250</xdr:rowOff>
    </xdr:from>
    <xdr:to>
      <xdr:col>0</xdr:col>
      <xdr:colOff>551625</xdr:colOff>
      <xdr:row>70</xdr:row>
      <xdr:rowOff>518250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228456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49950</xdr:colOff>
      <xdr:row>67</xdr:row>
      <xdr:rowOff>13531</xdr:rowOff>
    </xdr:from>
    <xdr:to>
      <xdr:col>0</xdr:col>
      <xdr:colOff>553950</xdr:colOff>
      <xdr:row>67</xdr:row>
      <xdr:rowOff>517531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50" y="26089619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69</xdr:row>
      <xdr:rowOff>9450</xdr:rowOff>
    </xdr:from>
    <xdr:to>
      <xdr:col>0</xdr:col>
      <xdr:colOff>542100</xdr:colOff>
      <xdr:row>69</xdr:row>
      <xdr:rowOff>513450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779262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45150</xdr:colOff>
      <xdr:row>53</xdr:row>
      <xdr:rowOff>7050</xdr:rowOff>
    </xdr:from>
    <xdr:to>
      <xdr:col>0</xdr:col>
      <xdr:colOff>549150</xdr:colOff>
      <xdr:row>53</xdr:row>
      <xdr:rowOff>511050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150" y="185331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61800</xdr:colOff>
      <xdr:row>81</xdr:row>
      <xdr:rowOff>23700</xdr:rowOff>
    </xdr:from>
    <xdr:to>
      <xdr:col>0</xdr:col>
      <xdr:colOff>565800</xdr:colOff>
      <xdr:row>81</xdr:row>
      <xdr:rowOff>527700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800" y="251220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83</xdr:row>
      <xdr:rowOff>21300</xdr:rowOff>
    </xdr:from>
    <xdr:to>
      <xdr:col>0</xdr:col>
      <xdr:colOff>553875</xdr:colOff>
      <xdr:row>83</xdr:row>
      <xdr:rowOff>525300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66</xdr:row>
      <xdr:rowOff>9525</xdr:rowOff>
    </xdr:from>
    <xdr:to>
      <xdr:col>0</xdr:col>
      <xdr:colOff>551625</xdr:colOff>
      <xdr:row>66</xdr:row>
      <xdr:rowOff>513525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65354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49</xdr:row>
      <xdr:rowOff>63872</xdr:rowOff>
    </xdr:from>
    <xdr:to>
      <xdr:col>0</xdr:col>
      <xdr:colOff>561150</xdr:colOff>
      <xdr:row>50</xdr:row>
      <xdr:rowOff>478225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20301696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47622</xdr:colOff>
      <xdr:row>46</xdr:row>
      <xdr:rowOff>22340</xdr:rowOff>
    </xdr:from>
    <xdr:to>
      <xdr:col>0</xdr:col>
      <xdr:colOff>551622</xdr:colOff>
      <xdr:row>47</xdr:row>
      <xdr:rowOff>21515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2" y="19307664"/>
          <a:ext cx="504000" cy="503440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47</xdr:row>
      <xdr:rowOff>87699</xdr:rowOff>
    </xdr:from>
    <xdr:to>
      <xdr:col>0</xdr:col>
      <xdr:colOff>554426</xdr:colOff>
      <xdr:row>48</xdr:row>
      <xdr:rowOff>501491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426" y="17658523"/>
          <a:ext cx="504000" cy="50343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</xdr:row>
      <xdr:rowOff>190500</xdr:rowOff>
    </xdr:from>
    <xdr:to>
      <xdr:col>0</xdr:col>
      <xdr:colOff>551625</xdr:colOff>
      <xdr:row>30</xdr:row>
      <xdr:rowOff>494475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23063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42</xdr:row>
      <xdr:rowOff>23899</xdr:rowOff>
    </xdr:from>
    <xdr:to>
      <xdr:col>0</xdr:col>
      <xdr:colOff>551623</xdr:colOff>
      <xdr:row>43</xdr:row>
      <xdr:rowOff>23074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3" y="15883024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36</xdr:row>
      <xdr:rowOff>19050</xdr:rowOff>
    </xdr:from>
    <xdr:to>
      <xdr:col>0</xdr:col>
      <xdr:colOff>551625</xdr:colOff>
      <xdr:row>37</xdr:row>
      <xdr:rowOff>18225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46970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44</xdr:row>
      <xdr:rowOff>28065</xdr:rowOff>
    </xdr:from>
    <xdr:to>
      <xdr:col>0</xdr:col>
      <xdr:colOff>561150</xdr:colOff>
      <xdr:row>45</xdr:row>
      <xdr:rowOff>27241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7150" y="1647774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40</xdr:row>
      <xdr:rowOff>12620</xdr:rowOff>
    </xdr:from>
    <xdr:to>
      <xdr:col>0</xdr:col>
      <xdr:colOff>551625</xdr:colOff>
      <xdr:row>41</xdr:row>
      <xdr:rowOff>11794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625" y="1528119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74</xdr:row>
      <xdr:rowOff>19050</xdr:rowOff>
    </xdr:from>
    <xdr:to>
      <xdr:col>0</xdr:col>
      <xdr:colOff>551625</xdr:colOff>
      <xdr:row>74</xdr:row>
      <xdr:rowOff>523050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7625" y="2191702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76</xdr:row>
      <xdr:rowOff>19050</xdr:rowOff>
    </xdr:from>
    <xdr:to>
      <xdr:col>0</xdr:col>
      <xdr:colOff>551625</xdr:colOff>
      <xdr:row>76</xdr:row>
      <xdr:rowOff>523050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34</xdr:row>
      <xdr:rowOff>0</xdr:rowOff>
    </xdr:from>
    <xdr:to>
      <xdr:col>0</xdr:col>
      <xdr:colOff>548824</xdr:colOff>
      <xdr:row>34</xdr:row>
      <xdr:rowOff>504000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824" y="12909176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71</xdr:row>
      <xdr:rowOff>22412</xdr:rowOff>
    </xdr:from>
    <xdr:to>
      <xdr:col>0</xdr:col>
      <xdr:colOff>548824</xdr:colOff>
      <xdr:row>71</xdr:row>
      <xdr:rowOff>526412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4824" y="2617694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77</xdr:row>
      <xdr:rowOff>22412</xdr:rowOff>
    </xdr:from>
    <xdr:to>
      <xdr:col>0</xdr:col>
      <xdr:colOff>560029</xdr:colOff>
      <xdr:row>77</xdr:row>
      <xdr:rowOff>526412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029" y="29404236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78</xdr:row>
      <xdr:rowOff>22412</xdr:rowOff>
    </xdr:from>
    <xdr:to>
      <xdr:col>0</xdr:col>
      <xdr:colOff>548824</xdr:colOff>
      <xdr:row>78</xdr:row>
      <xdr:rowOff>526412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4824" y="29942118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73</xdr:row>
      <xdr:rowOff>22412</xdr:rowOff>
    </xdr:from>
    <xdr:to>
      <xdr:col>0</xdr:col>
      <xdr:colOff>537618</xdr:colOff>
      <xdr:row>73</xdr:row>
      <xdr:rowOff>526412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618" y="26714824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37</xdr:row>
      <xdr:rowOff>89646</xdr:rowOff>
    </xdr:from>
    <xdr:to>
      <xdr:col>0</xdr:col>
      <xdr:colOff>562446</xdr:colOff>
      <xdr:row>38</xdr:row>
      <xdr:rowOff>503999</xdr:rowOff>
    </xdr:to>
    <xdr:pic>
      <xdr:nvPicPr>
        <xdr:cNvPr id="54" name="Рисунок 2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824" y="16315764"/>
          <a:ext cx="517622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44824</xdr:colOff>
      <xdr:row>32</xdr:row>
      <xdr:rowOff>0</xdr:rowOff>
    </xdr:from>
    <xdr:to>
      <xdr:col>0</xdr:col>
      <xdr:colOff>548824</xdr:colOff>
      <xdr:row>32</xdr:row>
      <xdr:rowOff>504000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824" y="13346206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65956</xdr:colOff>
      <xdr:row>13</xdr:row>
      <xdr:rowOff>77162</xdr:rowOff>
    </xdr:from>
    <xdr:to>
      <xdr:col>0</xdr:col>
      <xdr:colOff>574999</xdr:colOff>
      <xdr:row>13</xdr:row>
      <xdr:rowOff>579697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56" y="5848191"/>
          <a:ext cx="509043" cy="502535"/>
        </a:xfrm>
        <a:prstGeom prst="rect">
          <a:avLst/>
        </a:prstGeom>
      </xdr:spPr>
    </xdr:pic>
    <xdr:clientData/>
  </xdr:twoCellAnchor>
  <xdr:twoCellAnchor editAs="oneCell">
    <xdr:from>
      <xdr:col>0</xdr:col>
      <xdr:colOff>58831</xdr:colOff>
      <xdr:row>8</xdr:row>
      <xdr:rowOff>58031</xdr:rowOff>
    </xdr:from>
    <xdr:to>
      <xdr:col>0</xdr:col>
      <xdr:colOff>567874</xdr:colOff>
      <xdr:row>8</xdr:row>
      <xdr:rowOff>562031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831" y="3318943"/>
          <a:ext cx="509043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15</xdr:row>
      <xdr:rowOff>59908</xdr:rowOff>
    </xdr:from>
    <xdr:to>
      <xdr:col>0</xdr:col>
      <xdr:colOff>553866</xdr:colOff>
      <xdr:row>15</xdr:row>
      <xdr:rowOff>563908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4823" y="7085996"/>
          <a:ext cx="509043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56028</xdr:colOff>
      <xdr:row>16</xdr:row>
      <xdr:rowOff>67236</xdr:rowOff>
    </xdr:from>
    <xdr:to>
      <xdr:col>0</xdr:col>
      <xdr:colOff>559095</xdr:colOff>
      <xdr:row>16</xdr:row>
      <xdr:rowOff>571236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6028" y="7720854"/>
          <a:ext cx="503067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59907</xdr:colOff>
      <xdr:row>11</xdr:row>
      <xdr:rowOff>71115</xdr:rowOff>
    </xdr:from>
    <xdr:to>
      <xdr:col>0</xdr:col>
      <xdr:colOff>568950</xdr:colOff>
      <xdr:row>11</xdr:row>
      <xdr:rowOff>575115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9907" y="4587086"/>
          <a:ext cx="509043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59907</xdr:colOff>
      <xdr:row>12</xdr:row>
      <xdr:rowOff>66805</xdr:rowOff>
    </xdr:from>
    <xdr:to>
      <xdr:col>0</xdr:col>
      <xdr:colOff>568950</xdr:colOff>
      <xdr:row>12</xdr:row>
      <xdr:rowOff>570805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9907" y="5210305"/>
          <a:ext cx="509043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52580</xdr:colOff>
      <xdr:row>14</xdr:row>
      <xdr:rowOff>59477</xdr:rowOff>
    </xdr:from>
    <xdr:to>
      <xdr:col>0</xdr:col>
      <xdr:colOff>561623</xdr:colOff>
      <xdr:row>14</xdr:row>
      <xdr:rowOff>563477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2580" y="6458036"/>
          <a:ext cx="509043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67234</xdr:colOff>
      <xdr:row>10</xdr:row>
      <xdr:rowOff>59477</xdr:rowOff>
    </xdr:from>
    <xdr:to>
      <xdr:col>0</xdr:col>
      <xdr:colOff>576277</xdr:colOff>
      <xdr:row>10</xdr:row>
      <xdr:rowOff>563477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7234" y="3947918"/>
          <a:ext cx="509043" cy="504000"/>
        </a:xfrm>
        <a:prstGeom prst="rect">
          <a:avLst/>
        </a:prstGeom>
      </xdr:spPr>
    </xdr:pic>
    <xdr:clientData/>
  </xdr:twoCellAnchor>
  <xdr:oneCellAnchor>
    <xdr:from>
      <xdr:col>0</xdr:col>
      <xdr:colOff>58831</xdr:colOff>
      <xdr:row>21</xdr:row>
      <xdr:rowOff>58031</xdr:rowOff>
    </xdr:from>
    <xdr:ext cx="509043" cy="504000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831" y="3318943"/>
          <a:ext cx="509043" cy="504000"/>
        </a:xfrm>
        <a:prstGeom prst="rect">
          <a:avLst/>
        </a:prstGeom>
      </xdr:spPr>
    </xdr:pic>
    <xdr:clientData/>
  </xdr:oneCellAnchor>
  <xdr:oneCellAnchor>
    <xdr:from>
      <xdr:col>0</xdr:col>
      <xdr:colOff>44823</xdr:colOff>
      <xdr:row>24</xdr:row>
      <xdr:rowOff>59908</xdr:rowOff>
    </xdr:from>
    <xdr:ext cx="509043" cy="504000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4823" y="7085996"/>
          <a:ext cx="509043" cy="504000"/>
        </a:xfrm>
        <a:prstGeom prst="rect">
          <a:avLst/>
        </a:prstGeom>
      </xdr:spPr>
    </xdr:pic>
    <xdr:clientData/>
  </xdr:oneCellAnchor>
  <xdr:oneCellAnchor>
    <xdr:from>
      <xdr:col>0</xdr:col>
      <xdr:colOff>56028</xdr:colOff>
      <xdr:row>25</xdr:row>
      <xdr:rowOff>67236</xdr:rowOff>
    </xdr:from>
    <xdr:ext cx="503067" cy="504000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6028" y="7720854"/>
          <a:ext cx="503067" cy="504000"/>
        </a:xfrm>
        <a:prstGeom prst="rect">
          <a:avLst/>
        </a:prstGeom>
      </xdr:spPr>
    </xdr:pic>
    <xdr:clientData/>
  </xdr:oneCellAnchor>
  <xdr:oneCellAnchor>
    <xdr:from>
      <xdr:col>0</xdr:col>
      <xdr:colOff>52580</xdr:colOff>
      <xdr:row>23</xdr:row>
      <xdr:rowOff>59477</xdr:rowOff>
    </xdr:from>
    <xdr:ext cx="509043" cy="504000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2580" y="6458036"/>
          <a:ext cx="509043" cy="504000"/>
        </a:xfrm>
        <a:prstGeom prst="rect">
          <a:avLst/>
        </a:prstGeom>
      </xdr:spPr>
    </xdr:pic>
    <xdr:clientData/>
  </xdr:oneCellAnchor>
  <xdr:oneCellAnchor>
    <xdr:from>
      <xdr:col>0</xdr:col>
      <xdr:colOff>67234</xdr:colOff>
      <xdr:row>22</xdr:row>
      <xdr:rowOff>59477</xdr:rowOff>
    </xdr:from>
    <xdr:ext cx="509043" cy="504000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7234" y="3947918"/>
          <a:ext cx="509043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57390</xdr:colOff>
      <xdr:row>72</xdr:row>
      <xdr:rowOff>22412</xdr:rowOff>
    </xdr:from>
    <xdr:to>
      <xdr:col>0</xdr:col>
      <xdr:colOff>561390</xdr:colOff>
      <xdr:row>72</xdr:row>
      <xdr:rowOff>526412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7390" y="28216412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75</xdr:row>
      <xdr:rowOff>25613</xdr:rowOff>
    </xdr:from>
    <xdr:to>
      <xdr:col>0</xdr:col>
      <xdr:colOff>560030</xdr:colOff>
      <xdr:row>75</xdr:row>
      <xdr:rowOff>529613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6030" y="2983326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50988</xdr:colOff>
      <xdr:row>79</xdr:row>
      <xdr:rowOff>7685</xdr:rowOff>
    </xdr:from>
    <xdr:to>
      <xdr:col>0</xdr:col>
      <xdr:colOff>554988</xdr:colOff>
      <xdr:row>79</xdr:row>
      <xdr:rowOff>511685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0988" y="3196686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41463</xdr:colOff>
      <xdr:row>80</xdr:row>
      <xdr:rowOff>12727</xdr:rowOff>
    </xdr:from>
    <xdr:to>
      <xdr:col>0</xdr:col>
      <xdr:colOff>545463</xdr:colOff>
      <xdr:row>80</xdr:row>
      <xdr:rowOff>516727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1463" y="32509786"/>
          <a:ext cx="504000" cy="504000"/>
        </a:xfrm>
        <a:prstGeom prst="rect">
          <a:avLst/>
        </a:prstGeom>
      </xdr:spPr>
    </xdr:pic>
    <xdr:clientData/>
  </xdr:twoCellAnchor>
  <xdr:twoCellAnchor>
    <xdr:from>
      <xdr:col>9</xdr:col>
      <xdr:colOff>863203</xdr:colOff>
      <xdr:row>42</xdr:row>
      <xdr:rowOff>14882</xdr:rowOff>
    </xdr:from>
    <xdr:to>
      <xdr:col>23</xdr:col>
      <xdr:colOff>148828</xdr:colOff>
      <xdr:row>51</xdr:row>
      <xdr:rowOff>133946</xdr:rowOff>
    </xdr:to>
    <xdr:sp macro="" textlink="">
      <xdr:nvSpPr>
        <xdr:cNvPr id="55" name="TextBox 54"/>
        <xdr:cNvSpPr txBox="1"/>
      </xdr:nvSpPr>
      <xdr:spPr>
        <a:xfrm>
          <a:off x="10938867" y="18216562"/>
          <a:ext cx="6146602" cy="31551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600" b="1"/>
            <a:t>В расходы не включены:</a:t>
          </a:r>
        </a:p>
        <a:p>
          <a:r>
            <a:rPr lang="ru-RU" sz="1600"/>
            <a:t>1. аренда/депозит</a:t>
          </a:r>
        </a:p>
        <a:p>
          <a:r>
            <a:rPr lang="ru-RU" sz="1600"/>
            <a:t>2. первый закуп продукции. (зависит от города, удаленности от склада поставщика продукции)</a:t>
          </a:r>
        </a:p>
        <a:p>
          <a:r>
            <a:rPr lang="ru-RU" sz="1600"/>
            <a:t>3. финансовая подушка на первые 2 месяца работы: зарплаты/аренда.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manager/AppData/Local/Temp/Rar$DI00.349/DOCUME~1/ZaziOne/LOCALS~1/Temp/bat/&#1056;&#1072;&#1089;&#1095;&#1077;&#109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ZIPC\Exchange\_&#1071;&#1085;&#1072;\&#1056;&#1052;C%20&#1040;&#1074;&#1090;&#1086;\&#1060;&#1080;&#1085;&#1072;&#1085;&#1089;&#1086;&#1074;&#1072;&#1103;%20&#1084;&#1086;&#1076;&#1077;&#1083;&#1100;%20&#1092;&#1088;&#1072;&#1085;&#1096;&#1080;&#1079;&#1099;%20RMSAuto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manager/AppData/Local/Temp/Rar$DI00.349/Documents%20and%20Settings/&#1052;&#1072;&#1088;&#1075;&#1086;/&#1056;&#1072;&#1073;&#1086;&#1095;&#1080;&#1081;%20&#1089;&#1090;&#1086;&#1083;/5.%20&#1058;&#1069;&#105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0;&#1080;&#1085;&#1072;&#1085;&#1089;&#1086;&#1074;&#1072;&#1103;%20&#1084;&#1086;&#1076;&#1077;&#1083;&#1100;%20&#1052;&#1072;&#1082;&#1041;&#1091;&#1088;&#1075;&#1077;&#1088;&#1089;.%20&#1050;&#1072;&#1092;&#1077;%20-%20B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>
        <row r="7">
          <cell r="D7">
            <v>39083</v>
          </cell>
        </row>
        <row r="8">
          <cell r="D8">
            <v>6</v>
          </cell>
        </row>
        <row r="9">
          <cell r="D9">
            <v>3</v>
          </cell>
          <cell r="E9" t="str">
            <v>пг.</v>
          </cell>
        </row>
        <row r="10">
          <cell r="D10">
            <v>180</v>
          </cell>
        </row>
        <row r="11">
          <cell r="B11" t="str">
            <v>грн.</v>
          </cell>
          <cell r="D11">
            <v>4</v>
          </cell>
        </row>
        <row r="12">
          <cell r="B12" t="str">
            <v>тыс. $</v>
          </cell>
          <cell r="D12">
            <v>6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грн.</v>
          </cell>
          <cell r="D19">
            <v>1</v>
          </cell>
        </row>
        <row r="20">
          <cell r="D20" t="b">
            <v>1</v>
          </cell>
        </row>
        <row r="25">
          <cell r="F25">
            <v>2007</v>
          </cell>
        </row>
        <row r="26">
          <cell r="F26">
            <v>1</v>
          </cell>
        </row>
        <row r="86">
          <cell r="F86" t="str">
            <v>"0"</v>
          </cell>
          <cell r="G86" t="str">
            <v>1/ 2007</v>
          </cell>
          <cell r="H86" t="str">
            <v>2/ 2007</v>
          </cell>
          <cell r="I86" t="str">
            <v>1/ 2008</v>
          </cell>
          <cell r="J86" t="str">
            <v>2/ 2008</v>
          </cell>
          <cell r="K86" t="str">
            <v>1/ 2009</v>
          </cell>
          <cell r="L86" t="str">
            <v>2/ 2009</v>
          </cell>
        </row>
        <row r="88">
          <cell r="F88">
            <v>2</v>
          </cell>
        </row>
        <row r="749">
          <cell r="B749">
            <v>0</v>
          </cell>
        </row>
        <row r="751">
          <cell r="B751">
            <v>0</v>
          </cell>
        </row>
        <row r="755">
          <cell r="B755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10</v>
          </cell>
        </row>
        <row r="889">
          <cell r="B889">
            <v>0.2</v>
          </cell>
        </row>
        <row r="890">
          <cell r="B890">
            <v>30</v>
          </cell>
        </row>
        <row r="891">
          <cell r="B891">
            <v>2</v>
          </cell>
        </row>
        <row r="892">
          <cell r="B892">
            <v>1</v>
          </cell>
        </row>
        <row r="945">
          <cell r="B945">
            <v>0.25</v>
          </cell>
        </row>
        <row r="946">
          <cell r="B946">
            <v>60</v>
          </cell>
        </row>
      </sheetData>
      <sheetData sheetId="2" refreshError="1"/>
      <sheetData sheetId="3" refreshError="1">
        <row r="9">
          <cell r="E9">
            <v>4</v>
          </cell>
        </row>
      </sheetData>
      <sheetData sheetId="4" refreshError="1"/>
      <sheetData sheetId="5" refreshError="1">
        <row r="5">
          <cell r="B5" t="str">
            <v>5.05</v>
          </cell>
        </row>
        <row r="10">
          <cell r="B10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. Исходные данные"/>
      <sheetName val="2. Резюме проекта"/>
      <sheetName val="3. Детальный расчет"/>
    </sheetNames>
    <sheetDataSet>
      <sheetData sheetId="0">
        <row r="1">
          <cell r="I1">
            <v>4</v>
          </cell>
        </row>
      </sheetData>
      <sheetData sheetId="1"/>
      <sheetData sheetId="2">
        <row r="12">
          <cell r="D12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Отчет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Исходные данные"/>
      <sheetName val="Обобщенный расчет"/>
      <sheetName val="Детальный расчет"/>
    </sheetNames>
    <sheetDataSet>
      <sheetData sheetId="0"/>
      <sheetData sheetId="1">
        <row r="5">
          <cell r="E5">
            <v>210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89"/>
  <sheetViews>
    <sheetView showGridLines="0" topLeftCell="A39" zoomScale="70" zoomScaleNormal="70" zoomScaleSheetLayoutView="85" workbookViewId="0">
      <selection activeCell="D46" sqref="D46:E46"/>
    </sheetView>
  </sheetViews>
  <sheetFormatPr defaultRowHeight="15"/>
  <cols>
    <col min="1" max="1" width="16.42578125" customWidth="1"/>
    <col min="2" max="2" width="27.140625" customWidth="1"/>
    <col min="3" max="3" width="17.5703125" customWidth="1"/>
    <col min="4" max="4" width="16.85546875" customWidth="1"/>
    <col min="5" max="5" width="12.140625" customWidth="1"/>
    <col min="6" max="6" width="17.42578125" customWidth="1"/>
    <col min="7" max="7" width="16.85546875" customWidth="1"/>
    <col min="8" max="8" width="16.140625" customWidth="1"/>
    <col min="9" max="9" width="17.85546875" customWidth="1"/>
    <col min="10" max="10" width="9.140625" customWidth="1"/>
    <col min="11" max="11" width="11.7109375" customWidth="1"/>
    <col min="12" max="12" width="11.85546875" customWidth="1"/>
    <col min="13" max="15" width="9.140625" customWidth="1"/>
    <col min="16" max="16" width="17.28515625" customWidth="1"/>
    <col min="17" max="17" width="15" customWidth="1"/>
    <col min="18" max="18" width="17.85546875" customWidth="1"/>
  </cols>
  <sheetData>
    <row r="1" spans="1:15" ht="36.75" customHeight="1">
      <c r="A1" s="309" t="s">
        <v>16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122"/>
    </row>
    <row r="2" spans="1:15" ht="42.75" customHeight="1">
      <c r="A2" s="308" t="s">
        <v>99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120"/>
      <c r="O2" s="111"/>
    </row>
    <row r="3" spans="1:15" ht="27" customHeight="1">
      <c r="A3" s="112" t="s">
        <v>100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5" ht="64.5" customHeight="1">
      <c r="A4" s="113" t="s">
        <v>1</v>
      </c>
      <c r="B4" s="113" t="s">
        <v>41</v>
      </c>
      <c r="C4" s="320" t="s">
        <v>84</v>
      </c>
      <c r="D4" s="320"/>
      <c r="E4" s="310" t="s">
        <v>85</v>
      </c>
      <c r="F4" s="311"/>
      <c r="G4" s="320" t="s">
        <v>86</v>
      </c>
      <c r="H4" s="320"/>
      <c r="I4" s="293" t="s">
        <v>199</v>
      </c>
      <c r="J4" s="320" t="s">
        <v>103</v>
      </c>
      <c r="K4" s="320"/>
      <c r="L4" s="108"/>
      <c r="M4" s="109"/>
    </row>
    <row r="5" spans="1:15" ht="30.75" customHeight="1">
      <c r="A5" s="102">
        <v>130</v>
      </c>
      <c r="B5" s="102">
        <v>80</v>
      </c>
      <c r="C5" s="322">
        <v>1.5</v>
      </c>
      <c r="D5" s="322"/>
      <c r="E5" s="312">
        <v>50</v>
      </c>
      <c r="F5" s="313"/>
      <c r="G5" s="321">
        <v>3.5</v>
      </c>
      <c r="H5" s="321"/>
      <c r="I5" s="114">
        <f>E5*G5</f>
        <v>175</v>
      </c>
      <c r="J5" s="321">
        <v>345</v>
      </c>
      <c r="K5" s="321"/>
      <c r="L5" s="108"/>
      <c r="M5" s="109"/>
    </row>
    <row r="6" spans="1:15" ht="48.75" hidden="1" customHeight="1">
      <c r="A6" s="362" t="s">
        <v>186</v>
      </c>
      <c r="B6" s="363"/>
      <c r="C6" s="363"/>
      <c r="D6" s="363"/>
      <c r="E6" s="363"/>
      <c r="F6" s="363"/>
      <c r="G6" s="363"/>
      <c r="H6" s="363"/>
      <c r="I6" s="364">
        <v>0.3</v>
      </c>
      <c r="J6" s="364"/>
      <c r="K6" s="364"/>
    </row>
    <row r="7" spans="1:15" ht="12.75" customHeight="1">
      <c r="A7" s="6"/>
    </row>
    <row r="8" spans="1:15" ht="30" hidden="1" customHeight="1">
      <c r="A8" s="112" t="s">
        <v>101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9"/>
    </row>
    <row r="9" spans="1:15" ht="84" hidden="1">
      <c r="A9" s="202" t="s">
        <v>1</v>
      </c>
      <c r="B9" s="202" t="s">
        <v>41</v>
      </c>
      <c r="C9" s="320" t="s">
        <v>84</v>
      </c>
      <c r="D9" s="320"/>
      <c r="E9" s="310" t="s">
        <v>85</v>
      </c>
      <c r="F9" s="311"/>
      <c r="G9" s="320" t="s">
        <v>86</v>
      </c>
      <c r="H9" s="320"/>
      <c r="I9" s="202" t="s">
        <v>40</v>
      </c>
      <c r="J9" s="320" t="s">
        <v>103</v>
      </c>
      <c r="K9" s="320"/>
      <c r="L9" s="108"/>
      <c r="M9" s="109"/>
    </row>
    <row r="10" spans="1:15" ht="57" hidden="1" customHeight="1">
      <c r="A10" s="203">
        <v>55</v>
      </c>
      <c r="B10" s="203">
        <v>40</v>
      </c>
      <c r="C10" s="322">
        <v>1.1599999999999999</v>
      </c>
      <c r="D10" s="322"/>
      <c r="E10" s="312">
        <f>ROUND(B10/C10,0)</f>
        <v>34</v>
      </c>
      <c r="F10" s="313"/>
      <c r="G10" s="321">
        <v>4</v>
      </c>
      <c r="H10" s="321"/>
      <c r="I10" s="208">
        <f>E10*G10</f>
        <v>136</v>
      </c>
      <c r="J10" s="321">
        <v>150</v>
      </c>
      <c r="K10" s="321"/>
      <c r="L10" s="108"/>
      <c r="M10" s="109"/>
    </row>
    <row r="11" spans="1:15" hidden="1"/>
    <row r="12" spans="1:15" ht="30" hidden="1" customHeight="1">
      <c r="A12" s="112" t="s">
        <v>102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9"/>
    </row>
    <row r="13" spans="1:15" ht="63" hidden="1" customHeight="1">
      <c r="A13" s="320" t="s">
        <v>1</v>
      </c>
      <c r="B13" s="320"/>
      <c r="C13" s="320" t="s">
        <v>42</v>
      </c>
      <c r="D13" s="320"/>
      <c r="E13" s="310" t="s">
        <v>43</v>
      </c>
      <c r="F13" s="314"/>
      <c r="G13" s="311"/>
      <c r="H13" s="310" t="s">
        <v>40</v>
      </c>
      <c r="I13" s="311"/>
      <c r="J13" s="320" t="s">
        <v>103</v>
      </c>
      <c r="K13" s="320"/>
      <c r="L13" s="108"/>
      <c r="M13" s="109"/>
    </row>
    <row r="14" spans="1:15" ht="58.5" hidden="1">
      <c r="A14" s="318">
        <v>30</v>
      </c>
      <c r="B14" s="318"/>
      <c r="C14" s="319">
        <v>1000</v>
      </c>
      <c r="D14" s="319"/>
      <c r="E14" s="315">
        <v>0.15</v>
      </c>
      <c r="F14" s="316"/>
      <c r="G14" s="317"/>
      <c r="H14" s="312">
        <f>C14*E14</f>
        <v>150</v>
      </c>
      <c r="I14" s="313"/>
      <c r="J14" s="318">
        <v>80</v>
      </c>
      <c r="K14" s="318"/>
      <c r="L14" s="108"/>
      <c r="M14" s="109"/>
    </row>
    <row r="15" spans="1:15" ht="0.75" customHeight="1"/>
    <row r="16" spans="1:15" ht="22.5" customHeight="1">
      <c r="A16" s="112" t="s">
        <v>149</v>
      </c>
    </row>
    <row r="17" spans="1:27" s="2" customFormat="1" ht="30" customHeight="1">
      <c r="A17" s="339" t="s">
        <v>2</v>
      </c>
      <c r="B17" s="339"/>
      <c r="C17" s="340"/>
      <c r="D17" s="338" t="s">
        <v>44</v>
      </c>
      <c r="E17" s="338"/>
      <c r="F17" s="338"/>
      <c r="G17" s="338"/>
      <c r="H17" s="338" t="s">
        <v>45</v>
      </c>
      <c r="I17" s="338"/>
      <c r="J17" s="338"/>
      <c r="K17" s="338"/>
      <c r="L17" s="119"/>
      <c r="O17" s="100"/>
      <c r="P17" s="103"/>
      <c r="Q17" s="104"/>
      <c r="R17" s="104"/>
      <c r="S17" s="104"/>
    </row>
    <row r="18" spans="1:27" s="2" customFormat="1" ht="30" customHeight="1">
      <c r="A18" s="339"/>
      <c r="B18" s="339"/>
      <c r="C18" s="340"/>
      <c r="D18" s="341" t="s">
        <v>116</v>
      </c>
      <c r="E18" s="342"/>
      <c r="F18" s="342"/>
      <c r="G18" s="343"/>
      <c r="H18" s="341" t="s">
        <v>116</v>
      </c>
      <c r="I18" s="342"/>
      <c r="J18" s="342"/>
      <c r="K18" s="343"/>
      <c r="L18" s="119"/>
      <c r="O18" s="100"/>
      <c r="P18" s="103"/>
      <c r="Q18" s="104"/>
      <c r="R18" s="104"/>
      <c r="S18" s="104"/>
    </row>
    <row r="19" spans="1:27" s="2" customFormat="1" ht="41.25" customHeight="1">
      <c r="A19" s="233"/>
      <c r="B19" s="329" t="s">
        <v>191</v>
      </c>
      <c r="C19" s="330"/>
      <c r="D19" s="154">
        <v>0.27</v>
      </c>
      <c r="E19" s="154"/>
      <c r="F19" s="154"/>
      <c r="G19" s="154"/>
      <c r="H19" s="223">
        <v>1.4</v>
      </c>
      <c r="I19" s="223"/>
      <c r="J19" s="325"/>
      <c r="K19" s="326"/>
      <c r="L19" s="119"/>
      <c r="O19" s="100"/>
      <c r="P19" s="103"/>
      <c r="Q19" s="104"/>
      <c r="R19" s="104"/>
      <c r="S19" s="104"/>
    </row>
    <row r="20" spans="1:27" s="2" customFormat="1" ht="42" hidden="1" customHeight="1">
      <c r="A20" s="233"/>
      <c r="B20" s="289" t="s">
        <v>197</v>
      </c>
      <c r="C20" s="290"/>
      <c r="D20" s="288">
        <v>0.05</v>
      </c>
      <c r="E20" s="288"/>
      <c r="F20" s="288"/>
      <c r="G20" s="288"/>
      <c r="H20" s="223">
        <v>3.5</v>
      </c>
      <c r="I20" s="223"/>
      <c r="J20" s="291"/>
      <c r="K20" s="292"/>
      <c r="L20" s="119"/>
      <c r="O20" s="100"/>
      <c r="P20" s="103"/>
      <c r="Q20" s="104"/>
      <c r="R20" s="104"/>
      <c r="S20" s="104"/>
    </row>
    <row r="21" spans="1:27" s="2" customFormat="1" ht="42" customHeight="1">
      <c r="A21" s="233"/>
      <c r="B21" s="329" t="s">
        <v>200</v>
      </c>
      <c r="C21" s="330"/>
      <c r="D21" s="154">
        <v>0.15</v>
      </c>
      <c r="E21" s="154"/>
      <c r="F21" s="154"/>
      <c r="G21" s="154"/>
      <c r="H21" s="223">
        <v>1.18</v>
      </c>
      <c r="I21" s="223"/>
      <c r="J21" s="325"/>
      <c r="K21" s="326"/>
      <c r="L21" s="119"/>
      <c r="O21" s="100"/>
      <c r="P21" s="103"/>
      <c r="Q21" s="104"/>
      <c r="R21" s="104"/>
      <c r="S21" s="104"/>
    </row>
    <row r="22" spans="1:27" s="2" customFormat="1" ht="42" customHeight="1">
      <c r="A22" s="233"/>
      <c r="B22" s="329" t="s">
        <v>192</v>
      </c>
      <c r="C22" s="330"/>
      <c r="D22" s="286">
        <v>0.14000000000000001</v>
      </c>
      <c r="E22" s="224"/>
      <c r="F22" s="224"/>
      <c r="G22" s="154"/>
      <c r="H22" s="223">
        <v>1.45</v>
      </c>
      <c r="I22" s="224"/>
      <c r="J22" s="325"/>
      <c r="K22" s="326"/>
      <c r="L22" s="119"/>
      <c r="O22" s="100"/>
      <c r="P22" s="103"/>
      <c r="Q22" s="104"/>
      <c r="R22" s="104"/>
      <c r="S22" s="104"/>
    </row>
    <row r="23" spans="1:27" ht="42" customHeight="1">
      <c r="A23" s="126"/>
      <c r="B23" s="329" t="s">
        <v>195</v>
      </c>
      <c r="C23" s="330"/>
      <c r="D23" s="288">
        <v>0.01</v>
      </c>
      <c r="E23" s="224"/>
      <c r="F23" s="224"/>
      <c r="G23" s="154"/>
      <c r="H23" s="223">
        <v>1.81</v>
      </c>
      <c r="I23" s="224"/>
      <c r="J23" s="325"/>
      <c r="K23" s="326"/>
      <c r="L23" s="117"/>
      <c r="P23" s="104"/>
      <c r="Q23" s="105"/>
      <c r="R23" s="105"/>
      <c r="S23" s="105"/>
    </row>
    <row r="24" spans="1:27" ht="42" customHeight="1">
      <c r="A24" s="126"/>
      <c r="B24" s="329" t="s">
        <v>3</v>
      </c>
      <c r="C24" s="330"/>
      <c r="D24" s="154">
        <v>2.5000000000000001E-2</v>
      </c>
      <c r="E24" s="224"/>
      <c r="F24" s="154"/>
      <c r="G24" s="224"/>
      <c r="H24" s="223">
        <v>1.31</v>
      </c>
      <c r="I24" s="223"/>
      <c r="J24" s="327"/>
      <c r="K24" s="328"/>
      <c r="L24" s="117"/>
      <c r="P24" s="106"/>
      <c r="Q24" s="105"/>
      <c r="R24" s="105"/>
      <c r="S24" s="105"/>
    </row>
    <row r="25" spans="1:27" ht="42" customHeight="1">
      <c r="A25" s="126"/>
      <c r="B25" s="329" t="s">
        <v>121</v>
      </c>
      <c r="C25" s="330"/>
      <c r="D25" s="154">
        <v>0.21</v>
      </c>
      <c r="E25" s="154"/>
      <c r="F25" s="154"/>
      <c r="G25" s="209"/>
      <c r="H25" s="223">
        <v>2</v>
      </c>
      <c r="I25" s="223"/>
      <c r="J25" s="327"/>
      <c r="K25" s="328"/>
      <c r="L25" s="117"/>
      <c r="P25" s="106"/>
      <c r="Q25" s="105"/>
      <c r="R25" s="105"/>
      <c r="S25" s="105"/>
    </row>
    <row r="26" spans="1:27" ht="42" customHeight="1">
      <c r="A26" s="126"/>
      <c r="B26" s="329" t="s">
        <v>193</v>
      </c>
      <c r="C26" s="330"/>
      <c r="D26" s="154">
        <v>0.16</v>
      </c>
      <c r="E26" s="154"/>
      <c r="F26" s="154"/>
      <c r="G26" s="209"/>
      <c r="H26" s="223">
        <v>1.25</v>
      </c>
      <c r="I26" s="223"/>
      <c r="J26" s="327"/>
      <c r="K26" s="328"/>
      <c r="L26" s="117"/>
      <c r="P26" s="106"/>
      <c r="Q26" s="105"/>
      <c r="R26" s="105"/>
      <c r="S26" s="105"/>
    </row>
    <row r="27" spans="1:27" ht="42" customHeight="1">
      <c r="A27" s="126"/>
      <c r="B27" s="329" t="s">
        <v>194</v>
      </c>
      <c r="C27" s="329"/>
      <c r="D27" s="154">
        <v>0.03</v>
      </c>
      <c r="E27" s="154"/>
      <c r="F27" s="154"/>
      <c r="G27" s="210"/>
      <c r="H27" s="223">
        <v>1.06</v>
      </c>
      <c r="I27" s="223"/>
      <c r="J27" s="327"/>
      <c r="K27" s="328"/>
      <c r="L27" s="117"/>
      <c r="P27" s="106"/>
      <c r="Q27" s="105"/>
      <c r="R27" s="105"/>
      <c r="S27" s="105"/>
    </row>
    <row r="28" spans="1:27" ht="42" customHeight="1">
      <c r="B28" s="331" t="s">
        <v>4</v>
      </c>
      <c r="C28" s="331"/>
      <c r="D28" s="232">
        <f t="shared" ref="D28:F28" si="0">SUM(D19:D27)</f>
        <v>1.0449999999999999</v>
      </c>
      <c r="E28" s="232">
        <f t="shared" si="0"/>
        <v>0</v>
      </c>
      <c r="F28" s="232">
        <f t="shared" si="0"/>
        <v>0</v>
      </c>
      <c r="G28" s="232">
        <f>SUM(G19:G27)</f>
        <v>0</v>
      </c>
      <c r="I28" s="3"/>
      <c r="J28" s="7"/>
      <c r="K28" s="118"/>
      <c r="L28" s="117"/>
      <c r="Q28" s="107"/>
      <c r="R28" s="107"/>
      <c r="S28" s="107"/>
    </row>
    <row r="29" spans="1:27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</row>
    <row r="30" spans="1:27" ht="24.75" customHeight="1">
      <c r="A30" s="1" t="s">
        <v>5</v>
      </c>
      <c r="H30" s="8"/>
      <c r="I30" s="8"/>
      <c r="J30" s="8"/>
    </row>
    <row r="31" spans="1:27" s="2" customFormat="1" ht="37.5" customHeight="1">
      <c r="A31"/>
      <c r="B31"/>
      <c r="C31"/>
      <c r="D31" s="341" t="s">
        <v>116</v>
      </c>
      <c r="E31" s="343"/>
      <c r="F31" s="338" t="s">
        <v>117</v>
      </c>
      <c r="G31" s="338"/>
      <c r="H31" s="338" t="s">
        <v>118</v>
      </c>
      <c r="I31" s="338"/>
      <c r="J31" s="205"/>
      <c r="K31" s="207"/>
      <c r="L31" s="119"/>
      <c r="O31" s="100"/>
      <c r="P31" s="103"/>
      <c r="Q31" s="104"/>
      <c r="R31" s="104"/>
      <c r="S31" s="104"/>
    </row>
    <row r="32" spans="1:27" ht="42" customHeight="1">
      <c r="A32" s="126"/>
      <c r="B32" s="323" t="s">
        <v>87</v>
      </c>
      <c r="C32" s="324"/>
      <c r="D32" s="344">
        <v>11000</v>
      </c>
      <c r="E32" s="344"/>
      <c r="F32" s="344"/>
      <c r="G32" s="344"/>
      <c r="H32" s="344"/>
      <c r="I32" s="344"/>
      <c r="J32" s="334" t="s">
        <v>104</v>
      </c>
      <c r="K32" s="334"/>
      <c r="L32" s="130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</row>
    <row r="33" spans="1:27" ht="26.25">
      <c r="A33" s="126"/>
      <c r="B33" s="226" t="s">
        <v>124</v>
      </c>
      <c r="C33" s="226"/>
      <c r="D33" s="229"/>
      <c r="E33" s="229"/>
      <c r="F33" s="227"/>
      <c r="G33" s="227"/>
      <c r="H33" s="227"/>
      <c r="I33" s="227"/>
      <c r="J33" s="226"/>
      <c r="K33" s="226"/>
      <c r="L33" s="130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</row>
    <row r="34" spans="1:27" ht="66.75" customHeight="1">
      <c r="A34" s="126"/>
      <c r="B34" s="334" t="s">
        <v>125</v>
      </c>
      <c r="C34" s="335"/>
      <c r="D34" s="345">
        <f>A5*D32*0.59</f>
        <v>843700</v>
      </c>
      <c r="E34" s="345"/>
      <c r="F34" s="355"/>
      <c r="G34" s="355"/>
      <c r="H34" s="355"/>
      <c r="I34" s="355"/>
      <c r="J34" s="334" t="s">
        <v>105</v>
      </c>
      <c r="K34" s="334"/>
      <c r="L34" s="130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</row>
    <row r="35" spans="1:27" ht="57" customHeight="1">
      <c r="A35" s="126"/>
      <c r="B35" s="334" t="s">
        <v>126</v>
      </c>
      <c r="C35" s="335"/>
      <c r="D35" s="345">
        <f>A5*D32*0.41</f>
        <v>586300</v>
      </c>
      <c r="E35" s="345"/>
      <c r="F35" s="355"/>
      <c r="G35" s="355"/>
      <c r="H35" s="355"/>
      <c r="I35" s="355"/>
      <c r="J35" s="334" t="s">
        <v>105</v>
      </c>
      <c r="K35" s="334"/>
      <c r="L35" s="130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</row>
    <row r="36" spans="1:27" s="126" customFormat="1" ht="26.25">
      <c r="B36" s="230"/>
      <c r="C36" s="230"/>
      <c r="D36" s="229"/>
      <c r="E36" s="229"/>
      <c r="F36" s="227"/>
      <c r="G36" s="227"/>
      <c r="H36" s="227"/>
      <c r="I36" s="227"/>
      <c r="J36" s="230"/>
      <c r="K36" s="230"/>
      <c r="L36" s="130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</row>
    <row r="37" spans="1:27" ht="42" customHeight="1">
      <c r="A37" s="126"/>
      <c r="B37" s="323" t="s">
        <v>93</v>
      </c>
      <c r="C37" s="324"/>
      <c r="D37" s="345">
        <v>11000</v>
      </c>
      <c r="E37" s="345"/>
      <c r="F37" s="355"/>
      <c r="G37" s="355"/>
      <c r="H37" s="356"/>
      <c r="I37" s="356"/>
      <c r="J37" s="334" t="s">
        <v>123</v>
      </c>
      <c r="K37" s="334"/>
      <c r="L37" s="130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</row>
    <row r="38" spans="1:27" ht="42" customHeight="1">
      <c r="A38" s="126"/>
      <c r="B38" s="323" t="s">
        <v>94</v>
      </c>
      <c r="C38" s="324"/>
      <c r="D38" s="346">
        <f>D37*E5</f>
        <v>550000</v>
      </c>
      <c r="E38" s="347"/>
      <c r="F38" s="356"/>
      <c r="G38" s="356"/>
      <c r="H38" s="356"/>
      <c r="I38" s="356"/>
      <c r="J38" s="334" t="s">
        <v>105</v>
      </c>
      <c r="K38" s="334"/>
      <c r="L38" s="130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</row>
    <row r="39" spans="1:27" ht="42" customHeight="1">
      <c r="A39" s="126"/>
      <c r="B39" s="329" t="s">
        <v>127</v>
      </c>
      <c r="C39" s="330"/>
      <c r="D39" s="351">
        <v>1350000</v>
      </c>
      <c r="E39" s="352"/>
      <c r="F39" s="355"/>
      <c r="G39" s="355"/>
      <c r="H39" s="355"/>
      <c r="I39" s="355"/>
      <c r="J39" s="334" t="s">
        <v>105</v>
      </c>
      <c r="K39" s="334"/>
      <c r="L39" s="130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</row>
    <row r="40" spans="1:27" ht="42" customHeight="1">
      <c r="A40" s="126"/>
      <c r="B40" s="323" t="s">
        <v>187</v>
      </c>
      <c r="C40" s="324"/>
      <c r="D40" s="351">
        <v>100000</v>
      </c>
      <c r="E40" s="352"/>
      <c r="F40" s="355"/>
      <c r="G40" s="355"/>
      <c r="H40" s="355"/>
      <c r="I40" s="355"/>
      <c r="J40" s="334" t="s">
        <v>105</v>
      </c>
      <c r="K40" s="334"/>
      <c r="L40" s="130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</row>
    <row r="41" spans="1:27" ht="42" customHeight="1">
      <c r="A41" s="126"/>
      <c r="B41" s="323" t="s">
        <v>90</v>
      </c>
      <c r="C41" s="324"/>
      <c r="D41" s="351">
        <v>50000</v>
      </c>
      <c r="E41" s="352"/>
      <c r="F41" s="355"/>
      <c r="G41" s="355"/>
      <c r="H41" s="356"/>
      <c r="I41" s="356"/>
      <c r="J41" s="334" t="s">
        <v>105</v>
      </c>
      <c r="K41" s="334"/>
      <c r="L41" s="130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</row>
    <row r="42" spans="1:27" ht="42" customHeight="1">
      <c r="A42" s="141"/>
      <c r="B42" s="323" t="s">
        <v>88</v>
      </c>
      <c r="C42" s="324"/>
      <c r="D42" s="351">
        <v>50000</v>
      </c>
      <c r="E42" s="352"/>
      <c r="F42" s="356"/>
      <c r="G42" s="356"/>
      <c r="H42" s="356"/>
      <c r="I42" s="356"/>
      <c r="J42" s="334" t="s">
        <v>105</v>
      </c>
      <c r="K42" s="334"/>
      <c r="L42" s="130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</row>
    <row r="43" spans="1:27" ht="42" customHeight="1">
      <c r="A43" s="126"/>
      <c r="B43" s="323" t="s">
        <v>49</v>
      </c>
      <c r="C43" s="324"/>
      <c r="D43" s="351">
        <v>270000</v>
      </c>
      <c r="E43" s="352"/>
      <c r="F43" s="355"/>
      <c r="G43" s="355"/>
      <c r="H43" s="355"/>
      <c r="I43" s="355"/>
      <c r="J43" s="334" t="s">
        <v>105</v>
      </c>
      <c r="K43" s="334"/>
      <c r="L43" s="130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</row>
    <row r="44" spans="1:27" ht="42" customHeight="1">
      <c r="A44" s="126"/>
      <c r="B44" s="323" t="s">
        <v>188</v>
      </c>
      <c r="C44" s="324"/>
      <c r="D44" s="351">
        <v>130000</v>
      </c>
      <c r="E44" s="352"/>
      <c r="F44" s="356"/>
      <c r="G44" s="356"/>
      <c r="H44" s="356"/>
      <c r="I44" s="356"/>
      <c r="J44" s="334" t="s">
        <v>105</v>
      </c>
      <c r="K44" s="334"/>
      <c r="L44" s="130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</row>
    <row r="45" spans="1:27" ht="42" customHeight="1">
      <c r="A45" s="126"/>
      <c r="B45" s="323" t="s">
        <v>38</v>
      </c>
      <c r="C45" s="324"/>
      <c r="D45" s="351">
        <v>378000</v>
      </c>
      <c r="E45" s="352"/>
      <c r="F45" s="355"/>
      <c r="G45" s="355"/>
      <c r="H45" s="355"/>
      <c r="I45" s="355"/>
      <c r="J45" s="334" t="s">
        <v>105</v>
      </c>
      <c r="K45" s="334"/>
      <c r="L45" s="130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</row>
    <row r="46" spans="1:27" ht="42" customHeight="1">
      <c r="A46" s="126"/>
      <c r="B46" s="323" t="s">
        <v>11</v>
      </c>
      <c r="C46" s="324"/>
      <c r="D46" s="351">
        <v>150000</v>
      </c>
      <c r="E46" s="352"/>
      <c r="F46" s="355"/>
      <c r="G46" s="355"/>
      <c r="H46" s="355"/>
      <c r="I46" s="355"/>
      <c r="J46" s="334" t="s">
        <v>105</v>
      </c>
      <c r="K46" s="334"/>
      <c r="L46" s="130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</row>
    <row r="47" spans="1:27" ht="42" customHeight="1">
      <c r="A47" s="126"/>
      <c r="B47" s="348" t="s">
        <v>4</v>
      </c>
      <c r="C47" s="349"/>
      <c r="D47" s="353">
        <f>D34+D35+D38+D39+D40+D41+D42+D43+D44+D45+D46</f>
        <v>4458000</v>
      </c>
      <c r="E47" s="354"/>
      <c r="F47" s="353"/>
      <c r="G47" s="354"/>
      <c r="H47" s="353"/>
      <c r="I47" s="354"/>
      <c r="J47" s="334" t="s">
        <v>105</v>
      </c>
      <c r="K47" s="334"/>
      <c r="L47" s="130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</row>
    <row r="48" spans="1:27" ht="8.25" customHeight="1">
      <c r="A48" s="350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130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</row>
    <row r="49" spans="1:28" ht="21">
      <c r="A49" s="1" t="s">
        <v>130</v>
      </c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130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</row>
    <row r="50" spans="1:28" s="2" customFormat="1" ht="37.5" customHeight="1">
      <c r="A50"/>
      <c r="B50"/>
      <c r="C50"/>
      <c r="D50" s="338" t="s">
        <v>116</v>
      </c>
      <c r="E50" s="338"/>
      <c r="F50" s="338" t="s">
        <v>117</v>
      </c>
      <c r="G50" s="338"/>
      <c r="H50" s="338" t="s">
        <v>118</v>
      </c>
      <c r="I50" s="338"/>
      <c r="J50" s="205"/>
      <c r="K50" s="205"/>
      <c r="L50" s="119"/>
      <c r="O50" s="100"/>
      <c r="P50" s="103"/>
      <c r="Q50" s="104"/>
      <c r="R50" s="104"/>
      <c r="S50" s="104"/>
    </row>
    <row r="51" spans="1:28" s="2" customFormat="1" ht="37.5" customHeight="1">
      <c r="A51" s="123" t="s">
        <v>131</v>
      </c>
      <c r="B51" s="1"/>
      <c r="C51" s="1"/>
      <c r="D51" s="237"/>
      <c r="E51" s="237"/>
      <c r="F51" s="237"/>
      <c r="G51" s="237"/>
      <c r="H51" s="237"/>
      <c r="I51" s="237"/>
      <c r="J51" s="205"/>
      <c r="K51" s="205"/>
      <c r="L51" s="119"/>
      <c r="O51" s="100"/>
      <c r="P51" s="103"/>
      <c r="Q51" s="104"/>
      <c r="R51" s="104"/>
      <c r="S51" s="104"/>
    </row>
    <row r="52" spans="1:28" s="2" customFormat="1" ht="37.5" customHeight="1">
      <c r="A52" s="123"/>
      <c r="B52" s="334" t="s">
        <v>135</v>
      </c>
      <c r="C52" s="335"/>
      <c r="D52" s="355">
        <v>1</v>
      </c>
      <c r="E52" s="355"/>
      <c r="F52" s="355"/>
      <c r="G52" s="355"/>
      <c r="H52" s="356"/>
      <c r="I52" s="356"/>
      <c r="J52" s="357" t="s">
        <v>129</v>
      </c>
      <c r="K52" s="357"/>
      <c r="L52" s="119"/>
      <c r="O52" s="100"/>
      <c r="P52" s="103"/>
      <c r="Q52" s="104"/>
      <c r="R52" s="104"/>
      <c r="S52" s="104"/>
    </row>
    <row r="53" spans="1:28" s="2" customFormat="1" ht="37.5" customHeight="1">
      <c r="A53" s="259"/>
      <c r="B53" s="334" t="s">
        <v>133</v>
      </c>
      <c r="C53" s="335"/>
      <c r="D53" s="355">
        <v>4</v>
      </c>
      <c r="E53" s="355"/>
      <c r="F53" s="355"/>
      <c r="G53" s="355"/>
      <c r="H53" s="355"/>
      <c r="I53" s="355"/>
      <c r="J53" s="357" t="s">
        <v>129</v>
      </c>
      <c r="K53" s="357"/>
      <c r="L53" s="119"/>
      <c r="O53" s="100"/>
      <c r="P53" s="103"/>
      <c r="Q53" s="104"/>
      <c r="R53" s="104"/>
      <c r="S53" s="104"/>
    </row>
    <row r="54" spans="1:28" s="2" customFormat="1" ht="37.5" hidden="1" customHeight="1">
      <c r="A54" s="259"/>
      <c r="B54" s="334" t="s">
        <v>156</v>
      </c>
      <c r="C54" s="335"/>
      <c r="D54" s="355"/>
      <c r="E54" s="355"/>
      <c r="F54" s="356"/>
      <c r="G54" s="356"/>
      <c r="H54" s="356"/>
      <c r="I54" s="356"/>
      <c r="J54" s="357" t="s">
        <v>129</v>
      </c>
      <c r="K54" s="357"/>
      <c r="L54" s="119"/>
      <c r="O54" s="100"/>
      <c r="P54" s="103"/>
      <c r="Q54" s="104"/>
      <c r="R54" s="104"/>
      <c r="S54" s="104"/>
    </row>
    <row r="55" spans="1:28" s="2" customFormat="1" ht="37.5" customHeight="1">
      <c r="A55" s="259"/>
      <c r="B55" s="334" t="s">
        <v>132</v>
      </c>
      <c r="C55" s="335"/>
      <c r="D55" s="355">
        <v>4</v>
      </c>
      <c r="E55" s="355"/>
      <c r="F55" s="355"/>
      <c r="G55" s="355"/>
      <c r="H55" s="356"/>
      <c r="I55" s="356"/>
      <c r="J55" s="357" t="s">
        <v>129</v>
      </c>
      <c r="K55" s="357"/>
      <c r="L55" s="119"/>
      <c r="O55" s="100"/>
      <c r="P55" s="103"/>
      <c r="Q55" s="104"/>
      <c r="R55" s="104"/>
      <c r="S55" s="104"/>
    </row>
    <row r="56" spans="1:28" s="2" customFormat="1" ht="37.5" customHeight="1">
      <c r="A56" s="259"/>
      <c r="B56" s="334" t="s">
        <v>134</v>
      </c>
      <c r="C56" s="335"/>
      <c r="D56" s="355">
        <v>2</v>
      </c>
      <c r="E56" s="355"/>
      <c r="F56" s="356"/>
      <c r="G56" s="356"/>
      <c r="H56" s="356"/>
      <c r="I56" s="356"/>
      <c r="J56" s="357" t="s">
        <v>129</v>
      </c>
      <c r="K56" s="357"/>
      <c r="L56" s="119"/>
      <c r="O56" s="100"/>
      <c r="P56" s="103"/>
      <c r="Q56" s="104"/>
      <c r="R56" s="104"/>
      <c r="S56" s="104"/>
    </row>
    <row r="57" spans="1:28" s="2" customFormat="1" ht="37.5" customHeight="1">
      <c r="A57" s="259"/>
      <c r="B57" s="334" t="s">
        <v>136</v>
      </c>
      <c r="C57" s="335"/>
      <c r="D57" s="355">
        <v>1</v>
      </c>
      <c r="E57" s="355"/>
      <c r="F57" s="356"/>
      <c r="G57" s="356"/>
      <c r="H57" s="356"/>
      <c r="I57" s="356"/>
      <c r="J57" s="357" t="s">
        <v>129</v>
      </c>
      <c r="K57" s="357"/>
      <c r="L57" s="119"/>
      <c r="O57" s="100"/>
      <c r="P57" s="103"/>
      <c r="Q57" s="104"/>
      <c r="R57" s="104"/>
      <c r="S57" s="104"/>
    </row>
    <row r="58" spans="1:28" s="2" customFormat="1" ht="37.5" customHeight="1">
      <c r="A58" s="259"/>
      <c r="B58" s="334" t="s">
        <v>137</v>
      </c>
      <c r="C58" s="335"/>
      <c r="D58" s="355">
        <v>1</v>
      </c>
      <c r="E58" s="355"/>
      <c r="F58" s="356"/>
      <c r="G58" s="356"/>
      <c r="H58" s="356"/>
      <c r="I58" s="356"/>
      <c r="J58" s="357" t="s">
        <v>129</v>
      </c>
      <c r="K58" s="357"/>
      <c r="L58" s="119"/>
      <c r="O58" s="100"/>
      <c r="P58" s="103"/>
      <c r="Q58" s="104"/>
      <c r="R58" s="104"/>
      <c r="S58" s="104"/>
    </row>
    <row r="59" spans="1:28" s="2" customFormat="1" ht="37.5" customHeight="1">
      <c r="A59" s="259"/>
      <c r="B59" s="323" t="s">
        <v>138</v>
      </c>
      <c r="C59" s="324"/>
      <c r="D59" s="356">
        <f>SUM(D52:E58)</f>
        <v>13</v>
      </c>
      <c r="E59" s="356"/>
      <c r="F59" s="356"/>
      <c r="G59" s="356"/>
      <c r="H59" s="356"/>
      <c r="I59" s="356"/>
      <c r="J59" s="357" t="s">
        <v>129</v>
      </c>
      <c r="K59" s="357"/>
      <c r="L59" s="119"/>
      <c r="O59" s="100"/>
      <c r="P59" s="103"/>
      <c r="Q59" s="104"/>
      <c r="R59" s="104"/>
      <c r="S59" s="104"/>
    </row>
    <row r="60" spans="1:28" s="2" customFormat="1" ht="21">
      <c r="A60" s="123"/>
      <c r="B60" s="1"/>
      <c r="C60" s="1"/>
      <c r="D60" s="237"/>
      <c r="E60" s="237"/>
      <c r="F60" s="237"/>
      <c r="G60" s="237"/>
      <c r="H60" s="237"/>
      <c r="I60" s="237"/>
      <c r="J60" s="205"/>
      <c r="K60" s="205"/>
      <c r="L60" s="119"/>
      <c r="O60" s="100"/>
      <c r="P60" s="103"/>
      <c r="Q60" s="104"/>
      <c r="R60" s="104"/>
      <c r="S60" s="104"/>
    </row>
    <row r="61" spans="1:28" ht="42" customHeight="1">
      <c r="A61" s="123" t="s">
        <v>139</v>
      </c>
      <c r="C61" s="236"/>
      <c r="D61" s="338" t="s">
        <v>116</v>
      </c>
      <c r="E61" s="338"/>
      <c r="F61" s="338" t="s">
        <v>117</v>
      </c>
      <c r="G61" s="338"/>
      <c r="H61" s="338" t="s">
        <v>118</v>
      </c>
      <c r="I61" s="338"/>
      <c r="J61" s="206"/>
      <c r="K61" s="126"/>
    </row>
    <row r="62" spans="1:28" ht="35.1" customHeight="1">
      <c r="A62" s="126"/>
      <c r="B62" s="334" t="s">
        <v>157</v>
      </c>
      <c r="C62" s="335"/>
      <c r="D62" s="355">
        <v>30000</v>
      </c>
      <c r="E62" s="355"/>
      <c r="F62" s="355"/>
      <c r="G62" s="355"/>
      <c r="H62" s="356"/>
      <c r="I62" s="356"/>
      <c r="J62" s="357" t="s">
        <v>145</v>
      </c>
      <c r="K62" s="357"/>
    </row>
    <row r="63" spans="1:28" ht="53.25" customHeight="1">
      <c r="A63" s="126"/>
      <c r="B63" s="334" t="s">
        <v>158</v>
      </c>
      <c r="C63" s="335"/>
      <c r="D63" s="355">
        <v>95</v>
      </c>
      <c r="E63" s="355"/>
      <c r="F63" s="355"/>
      <c r="G63" s="355"/>
      <c r="H63" s="355"/>
      <c r="I63" s="355"/>
      <c r="J63" s="357" t="s">
        <v>148</v>
      </c>
      <c r="K63" s="357"/>
      <c r="L63" s="142"/>
      <c r="M63" s="126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</row>
    <row r="64" spans="1:28" ht="0.75" hidden="1" customHeight="1">
      <c r="A64" s="126"/>
      <c r="B64" s="334" t="s">
        <v>159</v>
      </c>
      <c r="C64" s="335"/>
      <c r="D64" s="355"/>
      <c r="E64" s="355"/>
      <c r="F64" s="356"/>
      <c r="G64" s="356"/>
      <c r="H64" s="356"/>
      <c r="I64" s="356"/>
      <c r="J64" s="357" t="s">
        <v>148</v>
      </c>
      <c r="K64" s="357"/>
      <c r="L64" s="142"/>
      <c r="M64" s="126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</row>
    <row r="65" spans="1:28" ht="53.25" customHeight="1">
      <c r="A65" s="126"/>
      <c r="B65" s="334" t="s">
        <v>160</v>
      </c>
      <c r="C65" s="335"/>
      <c r="D65" s="355">
        <v>95</v>
      </c>
      <c r="E65" s="355"/>
      <c r="F65" s="355"/>
      <c r="G65" s="355"/>
      <c r="H65" s="356"/>
      <c r="I65" s="356"/>
      <c r="J65" s="357" t="s">
        <v>148</v>
      </c>
      <c r="K65" s="357"/>
      <c r="L65" s="142"/>
      <c r="M65" s="126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</row>
    <row r="66" spans="1:28" ht="35.1" customHeight="1">
      <c r="A66" s="126"/>
      <c r="B66" s="334" t="s">
        <v>161</v>
      </c>
      <c r="C66" s="335"/>
      <c r="D66" s="355">
        <v>18000</v>
      </c>
      <c r="E66" s="355"/>
      <c r="F66" s="356"/>
      <c r="G66" s="356"/>
      <c r="H66" s="356"/>
      <c r="I66" s="356"/>
      <c r="J66" s="357" t="s">
        <v>145</v>
      </c>
      <c r="K66" s="357"/>
    </row>
    <row r="67" spans="1:28" ht="35.1" customHeight="1">
      <c r="A67" s="126"/>
      <c r="B67" s="334" t="s">
        <v>162</v>
      </c>
      <c r="C67" s="335"/>
      <c r="D67" s="355">
        <v>15000</v>
      </c>
      <c r="E67" s="355"/>
      <c r="F67" s="356"/>
      <c r="G67" s="356"/>
      <c r="H67" s="356"/>
      <c r="I67" s="356"/>
      <c r="J67" s="357" t="s">
        <v>145</v>
      </c>
      <c r="K67" s="357"/>
    </row>
    <row r="68" spans="1:28" ht="35.1" customHeight="1">
      <c r="A68" s="126"/>
      <c r="B68" s="334" t="s">
        <v>163</v>
      </c>
      <c r="C68" s="335"/>
      <c r="D68" s="355">
        <v>10000</v>
      </c>
      <c r="E68" s="355"/>
      <c r="F68" s="356"/>
      <c r="G68" s="356"/>
      <c r="H68" s="356"/>
      <c r="I68" s="356"/>
      <c r="J68" s="357" t="s">
        <v>145</v>
      </c>
      <c r="K68" s="357"/>
    </row>
    <row r="69" spans="1:28" ht="54.75" customHeight="1">
      <c r="A69" s="126"/>
      <c r="B69" s="334" t="s">
        <v>164</v>
      </c>
      <c r="C69" s="335"/>
      <c r="D69" s="355">
        <f>24*7</f>
        <v>168</v>
      </c>
      <c r="E69" s="355"/>
      <c r="F69" s="355"/>
      <c r="G69" s="355"/>
      <c r="H69" s="355"/>
      <c r="I69" s="355"/>
      <c r="J69" s="361" t="s">
        <v>128</v>
      </c>
      <c r="K69" s="361"/>
      <c r="L69" s="142"/>
      <c r="M69" s="126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</row>
    <row r="70" spans="1:28" ht="9.9499999999999993" customHeight="1">
      <c r="A70" s="258"/>
      <c r="B70" s="225"/>
      <c r="C70" s="225"/>
      <c r="D70" s="225"/>
      <c r="E70" s="225"/>
      <c r="F70" s="225"/>
      <c r="G70" s="225"/>
      <c r="H70" s="225"/>
      <c r="I70" s="225"/>
      <c r="J70" s="225"/>
      <c r="K70" s="225"/>
      <c r="L70" s="130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</row>
    <row r="71" spans="1:28" ht="24.75" customHeight="1">
      <c r="A71" s="123" t="s">
        <v>6</v>
      </c>
      <c r="D71" s="100"/>
      <c r="E71" s="100"/>
      <c r="I71" s="358"/>
      <c r="J71" s="358"/>
      <c r="K71" s="8"/>
    </row>
    <row r="72" spans="1:28" s="2" customFormat="1" ht="37.5" customHeight="1">
      <c r="A72" s="285"/>
      <c r="B72"/>
      <c r="C72"/>
      <c r="D72" s="338" t="s">
        <v>116</v>
      </c>
      <c r="E72" s="338"/>
      <c r="F72" s="338" t="s">
        <v>117</v>
      </c>
      <c r="G72" s="338"/>
      <c r="H72" s="338" t="s">
        <v>118</v>
      </c>
      <c r="I72" s="338"/>
      <c r="J72" s="205"/>
      <c r="K72" s="205"/>
      <c r="L72" s="119"/>
      <c r="O72" s="100"/>
      <c r="P72" s="103"/>
      <c r="Q72" s="104"/>
      <c r="R72" s="104"/>
      <c r="S72" s="104"/>
    </row>
    <row r="73" spans="1:28" ht="42" customHeight="1">
      <c r="A73" s="126"/>
      <c r="B73" s="323" t="s">
        <v>140</v>
      </c>
      <c r="C73" s="323"/>
      <c r="D73" s="344">
        <f>D62+D63*D69*4+D64*D69*4+D65*D69*4+D66+D67+D68</f>
        <v>200680</v>
      </c>
      <c r="E73" s="344"/>
      <c r="F73" s="344"/>
      <c r="G73" s="344"/>
      <c r="H73" s="360"/>
      <c r="I73" s="360"/>
      <c r="J73" s="357" t="s">
        <v>145</v>
      </c>
      <c r="K73" s="357"/>
    </row>
    <row r="74" spans="1:28" ht="42" customHeight="1">
      <c r="A74" s="136"/>
      <c r="B74" s="336" t="s">
        <v>17</v>
      </c>
      <c r="C74" s="337"/>
      <c r="D74" s="359">
        <v>3.5000000000000003E-2</v>
      </c>
      <c r="E74" s="359"/>
      <c r="F74" s="359"/>
      <c r="G74" s="359"/>
      <c r="H74" s="359"/>
      <c r="I74" s="359"/>
      <c r="J74" s="357" t="s">
        <v>146</v>
      </c>
      <c r="K74" s="357"/>
    </row>
    <row r="75" spans="1:28" ht="42" customHeight="1">
      <c r="A75" s="126"/>
      <c r="B75" s="332" t="s">
        <v>89</v>
      </c>
      <c r="C75" s="333"/>
      <c r="D75" s="345">
        <v>1200</v>
      </c>
      <c r="E75" s="345"/>
      <c r="F75" s="345"/>
      <c r="G75" s="345"/>
      <c r="H75" s="345"/>
      <c r="I75" s="345"/>
      <c r="J75" s="357" t="s">
        <v>145</v>
      </c>
      <c r="K75" s="357"/>
      <c r="L75" s="142"/>
      <c r="M75" s="126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</row>
    <row r="76" spans="1:28" ht="42" customHeight="1">
      <c r="A76" s="126"/>
      <c r="B76" s="323" t="s">
        <v>9</v>
      </c>
      <c r="C76" s="324"/>
      <c r="D76" s="355">
        <v>30000</v>
      </c>
      <c r="E76" s="355"/>
      <c r="F76" s="355"/>
      <c r="G76" s="355"/>
      <c r="H76" s="355"/>
      <c r="I76" s="355"/>
      <c r="J76" s="357" t="s">
        <v>145</v>
      </c>
      <c r="K76" s="357"/>
    </row>
    <row r="77" spans="1:28" ht="42" customHeight="1">
      <c r="A77" s="126"/>
      <c r="B77" s="323" t="s">
        <v>55</v>
      </c>
      <c r="C77" s="324"/>
      <c r="D77" s="355">
        <v>20000</v>
      </c>
      <c r="E77" s="355"/>
      <c r="F77" s="355"/>
      <c r="G77" s="355"/>
      <c r="H77" s="345"/>
      <c r="I77" s="345"/>
      <c r="J77" s="357" t="s">
        <v>145</v>
      </c>
      <c r="K77" s="357"/>
    </row>
    <row r="78" spans="1:28" ht="42" customHeight="1">
      <c r="A78" s="126"/>
      <c r="B78" s="323" t="s">
        <v>147</v>
      </c>
      <c r="C78" s="324"/>
      <c r="D78" s="355">
        <v>5000</v>
      </c>
      <c r="E78" s="355"/>
      <c r="F78" s="355"/>
      <c r="G78" s="355"/>
      <c r="H78" s="345"/>
      <c r="I78" s="345"/>
      <c r="J78" s="357" t="s">
        <v>145</v>
      </c>
      <c r="K78" s="357"/>
    </row>
    <row r="79" spans="1:28" ht="42" customHeight="1">
      <c r="A79" s="126"/>
      <c r="B79" s="323" t="s">
        <v>51</v>
      </c>
      <c r="C79" s="324"/>
      <c r="D79" s="355">
        <v>6500</v>
      </c>
      <c r="E79" s="355"/>
      <c r="F79" s="355"/>
      <c r="G79" s="355"/>
      <c r="H79" s="355"/>
      <c r="I79" s="355"/>
      <c r="J79" s="357" t="s">
        <v>145</v>
      </c>
      <c r="K79" s="357"/>
    </row>
    <row r="80" spans="1:28" ht="42" customHeight="1">
      <c r="A80" s="126"/>
      <c r="B80" s="323" t="s">
        <v>52</v>
      </c>
      <c r="C80" s="324"/>
      <c r="D80" s="355">
        <v>2000</v>
      </c>
      <c r="E80" s="355"/>
      <c r="F80" s="344"/>
      <c r="G80" s="344"/>
      <c r="H80" s="344"/>
      <c r="I80" s="344"/>
      <c r="J80" s="357" t="s">
        <v>145</v>
      </c>
      <c r="K80" s="357"/>
    </row>
    <row r="81" spans="1:11" ht="42" customHeight="1">
      <c r="A81" s="126"/>
      <c r="B81" s="323" t="s">
        <v>141</v>
      </c>
      <c r="C81" s="324"/>
      <c r="D81" s="355">
        <v>25000</v>
      </c>
      <c r="E81" s="355"/>
      <c r="F81" s="355"/>
      <c r="G81" s="355"/>
      <c r="H81" s="355"/>
      <c r="I81" s="355"/>
      <c r="J81" s="357" t="s">
        <v>145</v>
      </c>
      <c r="K81" s="357"/>
    </row>
    <row r="82" spans="1:11" ht="42" customHeight="1">
      <c r="A82" s="126"/>
      <c r="B82" s="323" t="s">
        <v>190</v>
      </c>
      <c r="C82" s="324"/>
      <c r="D82" s="355">
        <v>3500</v>
      </c>
      <c r="E82" s="355"/>
      <c r="F82" s="355"/>
      <c r="G82" s="355"/>
      <c r="H82" s="355"/>
      <c r="I82" s="355"/>
      <c r="J82" s="357" t="s">
        <v>145</v>
      </c>
      <c r="K82" s="357"/>
    </row>
    <row r="83" spans="1:11" ht="42" customHeight="1">
      <c r="A83" s="126"/>
      <c r="B83" s="323" t="s">
        <v>143</v>
      </c>
      <c r="C83" s="324"/>
      <c r="D83" s="355">
        <v>6000</v>
      </c>
      <c r="E83" s="355"/>
      <c r="F83" s="355"/>
      <c r="G83" s="355"/>
      <c r="H83" s="345"/>
      <c r="I83" s="345"/>
      <c r="J83" s="357" t="s">
        <v>144</v>
      </c>
      <c r="K83" s="357"/>
    </row>
    <row r="84" spans="1:11" ht="42" customHeight="1">
      <c r="A84" s="126"/>
      <c r="B84" s="323" t="s">
        <v>142</v>
      </c>
      <c r="C84" s="324"/>
      <c r="D84" s="355">
        <v>10000</v>
      </c>
      <c r="E84" s="355"/>
      <c r="F84" s="355"/>
      <c r="G84" s="355"/>
      <c r="H84" s="355"/>
      <c r="I84" s="355"/>
      <c r="J84" s="357" t="s">
        <v>145</v>
      </c>
      <c r="K84" s="357"/>
    </row>
    <row r="85" spans="1:11" ht="42" customHeight="1">
      <c r="A85" s="126"/>
      <c r="B85" s="323" t="s">
        <v>180</v>
      </c>
      <c r="C85" s="324"/>
      <c r="D85" s="355">
        <v>10700</v>
      </c>
      <c r="E85" s="355"/>
      <c r="F85" s="355"/>
      <c r="G85" s="355"/>
      <c r="H85" s="346"/>
      <c r="I85" s="347"/>
      <c r="J85" s="357" t="s">
        <v>144</v>
      </c>
      <c r="K85" s="357"/>
    </row>
    <row r="86" spans="1:11" ht="42" customHeight="1">
      <c r="A86" s="126"/>
      <c r="B86" s="323" t="s">
        <v>189</v>
      </c>
      <c r="C86" s="324"/>
      <c r="D86" s="355">
        <v>3200</v>
      </c>
      <c r="E86" s="355"/>
      <c r="F86" s="355"/>
      <c r="G86" s="355"/>
      <c r="H86" s="355"/>
      <c r="I86" s="355"/>
      <c r="J86" s="357" t="s">
        <v>144</v>
      </c>
      <c r="K86" s="357"/>
    </row>
    <row r="87" spans="1:11" ht="42" customHeight="1">
      <c r="A87" s="6"/>
      <c r="B87" s="323" t="s">
        <v>54</v>
      </c>
      <c r="C87" s="324"/>
      <c r="D87" s="355">
        <v>30000</v>
      </c>
      <c r="E87" s="355"/>
      <c r="F87" s="345"/>
      <c r="G87" s="345"/>
      <c r="H87" s="345"/>
      <c r="I87" s="345"/>
      <c r="J87" s="357" t="s">
        <v>145</v>
      </c>
      <c r="K87" s="357"/>
    </row>
    <row r="88" spans="1:11" ht="42" customHeight="1">
      <c r="A88" s="6"/>
      <c r="B88" s="329" t="s">
        <v>202</v>
      </c>
      <c r="C88" s="330"/>
      <c r="D88" s="355">
        <v>70000</v>
      </c>
      <c r="E88" s="355"/>
      <c r="F88" s="345"/>
      <c r="G88" s="345"/>
      <c r="H88" s="345"/>
      <c r="I88" s="345"/>
      <c r="J88" s="357" t="s">
        <v>145</v>
      </c>
      <c r="K88" s="357"/>
    </row>
    <row r="89" spans="1:11" ht="42" customHeight="1">
      <c r="A89" s="6"/>
      <c r="B89" s="323" t="s">
        <v>11</v>
      </c>
      <c r="C89" s="324"/>
      <c r="D89" s="355">
        <v>30000</v>
      </c>
      <c r="E89" s="355"/>
      <c r="F89" s="345"/>
      <c r="G89" s="345"/>
      <c r="H89" s="345"/>
      <c r="I89" s="345"/>
      <c r="J89" s="357" t="s">
        <v>145</v>
      </c>
      <c r="K89" s="357"/>
    </row>
  </sheetData>
  <sheetProtection formatCells="0" formatColumns="0" formatRows="0" insertColumns="0" insertRows="0" insertHyperlinks="0" deleteColumns="0" deleteRows="0" sort="0" autoFilter="0" pivotTables="0"/>
  <mergeCells count="301">
    <mergeCell ref="A6:H6"/>
    <mergeCell ref="I6:K6"/>
    <mergeCell ref="B54:C54"/>
    <mergeCell ref="D54:E54"/>
    <mergeCell ref="F54:G54"/>
    <mergeCell ref="H54:I54"/>
    <mergeCell ref="J54:K54"/>
    <mergeCell ref="F85:G85"/>
    <mergeCell ref="H85:I85"/>
    <mergeCell ref="J85:K85"/>
    <mergeCell ref="B64:C64"/>
    <mergeCell ref="D64:E64"/>
    <mergeCell ref="F64:G64"/>
    <mergeCell ref="H64:I64"/>
    <mergeCell ref="J64:K64"/>
    <mergeCell ref="D52:E52"/>
    <mergeCell ref="F52:G52"/>
    <mergeCell ref="H52:I52"/>
    <mergeCell ref="J52:K52"/>
    <mergeCell ref="B59:C59"/>
    <mergeCell ref="D59:E59"/>
    <mergeCell ref="F59:G59"/>
    <mergeCell ref="H59:I59"/>
    <mergeCell ref="J59:K59"/>
    <mergeCell ref="D65:E65"/>
    <mergeCell ref="F65:G65"/>
    <mergeCell ref="H65:I65"/>
    <mergeCell ref="J65:K65"/>
    <mergeCell ref="B69:C69"/>
    <mergeCell ref="D69:E69"/>
    <mergeCell ref="F69:G69"/>
    <mergeCell ref="H69:I69"/>
    <mergeCell ref="J69:K69"/>
    <mergeCell ref="B66:C66"/>
    <mergeCell ref="D62:E62"/>
    <mergeCell ref="F62:G62"/>
    <mergeCell ref="H62:I62"/>
    <mergeCell ref="J62:K62"/>
    <mergeCell ref="B68:C68"/>
    <mergeCell ref="D68:E68"/>
    <mergeCell ref="F68:G68"/>
    <mergeCell ref="H68:I68"/>
    <mergeCell ref="J68:K68"/>
    <mergeCell ref="D66:E66"/>
    <mergeCell ref="F66:G66"/>
    <mergeCell ref="H66:I66"/>
    <mergeCell ref="J66:K66"/>
    <mergeCell ref="B67:C67"/>
    <mergeCell ref="D67:E67"/>
    <mergeCell ref="F67:G67"/>
    <mergeCell ref="H67:I67"/>
    <mergeCell ref="J67:K67"/>
    <mergeCell ref="B63:C63"/>
    <mergeCell ref="D63:E63"/>
    <mergeCell ref="F63:G63"/>
    <mergeCell ref="H63:I63"/>
    <mergeCell ref="J63:K63"/>
    <mergeCell ref="B65:C65"/>
    <mergeCell ref="D50:E50"/>
    <mergeCell ref="F50:G50"/>
    <mergeCell ref="H50:I50"/>
    <mergeCell ref="B53:C53"/>
    <mergeCell ref="D61:E61"/>
    <mergeCell ref="F61:G61"/>
    <mergeCell ref="H61:I61"/>
    <mergeCell ref="D53:E53"/>
    <mergeCell ref="F53:G53"/>
    <mergeCell ref="H53:I53"/>
    <mergeCell ref="D55:E55"/>
    <mergeCell ref="F55:G55"/>
    <mergeCell ref="H55:I55"/>
    <mergeCell ref="D56:E56"/>
    <mergeCell ref="F56:G56"/>
    <mergeCell ref="B55:C55"/>
    <mergeCell ref="B56:C56"/>
    <mergeCell ref="B57:C57"/>
    <mergeCell ref="B58:C58"/>
    <mergeCell ref="B52:C52"/>
    <mergeCell ref="D57:E57"/>
    <mergeCell ref="F57:G57"/>
    <mergeCell ref="H57:I57"/>
    <mergeCell ref="D58:E58"/>
    <mergeCell ref="F89:G89"/>
    <mergeCell ref="D72:E72"/>
    <mergeCell ref="D73:E73"/>
    <mergeCell ref="D78:E78"/>
    <mergeCell ref="D74:E74"/>
    <mergeCell ref="D75:E75"/>
    <mergeCell ref="F80:G80"/>
    <mergeCell ref="F81:G81"/>
    <mergeCell ref="F82:G82"/>
    <mergeCell ref="F83:G83"/>
    <mergeCell ref="D88:E88"/>
    <mergeCell ref="D89:E89"/>
    <mergeCell ref="D82:E82"/>
    <mergeCell ref="D83:E83"/>
    <mergeCell ref="D84:E84"/>
    <mergeCell ref="D87:E87"/>
    <mergeCell ref="D85:E85"/>
    <mergeCell ref="D76:E76"/>
    <mergeCell ref="D77:E77"/>
    <mergeCell ref="D79:E79"/>
    <mergeCell ref="D80:E80"/>
    <mergeCell ref="D81:E81"/>
    <mergeCell ref="D86:E86"/>
    <mergeCell ref="F86:G86"/>
    <mergeCell ref="F79:G79"/>
    <mergeCell ref="F74:G74"/>
    <mergeCell ref="F76:G76"/>
    <mergeCell ref="F77:G77"/>
    <mergeCell ref="F78:G78"/>
    <mergeCell ref="H83:I83"/>
    <mergeCell ref="H84:I84"/>
    <mergeCell ref="H87:I87"/>
    <mergeCell ref="H88:I88"/>
    <mergeCell ref="H77:I77"/>
    <mergeCell ref="H79:I79"/>
    <mergeCell ref="H80:I80"/>
    <mergeCell ref="H81:I81"/>
    <mergeCell ref="H82:I82"/>
    <mergeCell ref="F87:G87"/>
    <mergeCell ref="F88:G88"/>
    <mergeCell ref="H86:I86"/>
    <mergeCell ref="F75:G75"/>
    <mergeCell ref="H75:I75"/>
    <mergeCell ref="F84:G84"/>
    <mergeCell ref="J87:K87"/>
    <mergeCell ref="J88:K88"/>
    <mergeCell ref="J89:K89"/>
    <mergeCell ref="H72:I72"/>
    <mergeCell ref="H78:I78"/>
    <mergeCell ref="H74:I74"/>
    <mergeCell ref="H76:I76"/>
    <mergeCell ref="J81:K81"/>
    <mergeCell ref="J82:K82"/>
    <mergeCell ref="J83:K83"/>
    <mergeCell ref="J84:K84"/>
    <mergeCell ref="J75:K75"/>
    <mergeCell ref="J76:K76"/>
    <mergeCell ref="J77:K77"/>
    <mergeCell ref="J79:K79"/>
    <mergeCell ref="J80:K80"/>
    <mergeCell ref="J78:K78"/>
    <mergeCell ref="J74:K74"/>
    <mergeCell ref="H89:I89"/>
    <mergeCell ref="J86:K86"/>
    <mergeCell ref="H73:I73"/>
    <mergeCell ref="J53:K53"/>
    <mergeCell ref="J55:K55"/>
    <mergeCell ref="H56:I56"/>
    <mergeCell ref="J56:K56"/>
    <mergeCell ref="J73:K73"/>
    <mergeCell ref="F46:G46"/>
    <mergeCell ref="F47:G47"/>
    <mergeCell ref="J46:K46"/>
    <mergeCell ref="J47:K47"/>
    <mergeCell ref="I71:J71"/>
    <mergeCell ref="F72:G72"/>
    <mergeCell ref="J57:K57"/>
    <mergeCell ref="F58:G58"/>
    <mergeCell ref="H58:I58"/>
    <mergeCell ref="J58:K58"/>
    <mergeCell ref="F73:G73"/>
    <mergeCell ref="H46:I46"/>
    <mergeCell ref="H47:I47"/>
    <mergeCell ref="F31:G31"/>
    <mergeCell ref="F32:G32"/>
    <mergeCell ref="F34:G34"/>
    <mergeCell ref="F37:G37"/>
    <mergeCell ref="F38:G38"/>
    <mergeCell ref="F39:G39"/>
    <mergeCell ref="F40:G40"/>
    <mergeCell ref="F41:G41"/>
    <mergeCell ref="F42:G42"/>
    <mergeCell ref="H31:I31"/>
    <mergeCell ref="H32:I32"/>
    <mergeCell ref="H34:I34"/>
    <mergeCell ref="H37:I37"/>
    <mergeCell ref="H38:I38"/>
    <mergeCell ref="H39:I39"/>
    <mergeCell ref="H40:I40"/>
    <mergeCell ref="H35:I35"/>
    <mergeCell ref="H41:I41"/>
    <mergeCell ref="J42:K42"/>
    <mergeCell ref="J43:K43"/>
    <mergeCell ref="J44:K44"/>
    <mergeCell ref="J45:K45"/>
    <mergeCell ref="D39:E39"/>
    <mergeCell ref="D40:E40"/>
    <mergeCell ref="D41:E41"/>
    <mergeCell ref="B35:C35"/>
    <mergeCell ref="D35:E35"/>
    <mergeCell ref="F35:G35"/>
    <mergeCell ref="J35:K35"/>
    <mergeCell ref="H43:I43"/>
    <mergeCell ref="H44:I44"/>
    <mergeCell ref="H45:I45"/>
    <mergeCell ref="F43:G43"/>
    <mergeCell ref="F44:G44"/>
    <mergeCell ref="F45:G45"/>
    <mergeCell ref="H42:I42"/>
    <mergeCell ref="D31:E31"/>
    <mergeCell ref="D32:E32"/>
    <mergeCell ref="D34:E34"/>
    <mergeCell ref="D37:E37"/>
    <mergeCell ref="D38:E38"/>
    <mergeCell ref="B41:C41"/>
    <mergeCell ref="B46:C46"/>
    <mergeCell ref="B47:C47"/>
    <mergeCell ref="A48:K48"/>
    <mergeCell ref="B44:C44"/>
    <mergeCell ref="B45:C45"/>
    <mergeCell ref="D42:E42"/>
    <mergeCell ref="D43:E43"/>
    <mergeCell ref="D44:E44"/>
    <mergeCell ref="D45:E45"/>
    <mergeCell ref="D46:E46"/>
    <mergeCell ref="D47:E47"/>
    <mergeCell ref="J32:K32"/>
    <mergeCell ref="J34:K34"/>
    <mergeCell ref="J37:K37"/>
    <mergeCell ref="J38:K38"/>
    <mergeCell ref="J39:K39"/>
    <mergeCell ref="J40:K40"/>
    <mergeCell ref="J41:K41"/>
    <mergeCell ref="H17:K17"/>
    <mergeCell ref="D17:G17"/>
    <mergeCell ref="A17:C18"/>
    <mergeCell ref="B23:C23"/>
    <mergeCell ref="B19:C19"/>
    <mergeCell ref="J19:K19"/>
    <mergeCell ref="B21:C21"/>
    <mergeCell ref="J21:K21"/>
    <mergeCell ref="B22:C22"/>
    <mergeCell ref="J22:K22"/>
    <mergeCell ref="D18:G18"/>
    <mergeCell ref="H18:K18"/>
    <mergeCell ref="B84:C84"/>
    <mergeCell ref="B87:C87"/>
    <mergeCell ref="B81:C81"/>
    <mergeCell ref="B82:C82"/>
    <mergeCell ref="B85:C85"/>
    <mergeCell ref="B26:C26"/>
    <mergeCell ref="B24:C24"/>
    <mergeCell ref="B25:C25"/>
    <mergeCell ref="B34:C34"/>
    <mergeCell ref="B38:C38"/>
    <mergeCell ref="B37:C37"/>
    <mergeCell ref="B62:C62"/>
    <mergeCell ref="B86:C86"/>
    <mergeCell ref="B73:C73"/>
    <mergeCell ref="B74:C74"/>
    <mergeCell ref="B77:C77"/>
    <mergeCell ref="J10:K10"/>
    <mergeCell ref="C5:D5"/>
    <mergeCell ref="C9:D9"/>
    <mergeCell ref="G9:H9"/>
    <mergeCell ref="B89:C89"/>
    <mergeCell ref="J23:K23"/>
    <mergeCell ref="J24:K24"/>
    <mergeCell ref="J25:K25"/>
    <mergeCell ref="J27:K27"/>
    <mergeCell ref="B42:C42"/>
    <mergeCell ref="B43:C43"/>
    <mergeCell ref="B88:C88"/>
    <mergeCell ref="B32:C32"/>
    <mergeCell ref="B39:C39"/>
    <mergeCell ref="B40:C40"/>
    <mergeCell ref="B28:C28"/>
    <mergeCell ref="B27:C27"/>
    <mergeCell ref="J26:K26"/>
    <mergeCell ref="B79:C79"/>
    <mergeCell ref="B80:C80"/>
    <mergeCell ref="B75:C75"/>
    <mergeCell ref="B76:C76"/>
    <mergeCell ref="B78:C78"/>
    <mergeCell ref="B83:C83"/>
    <mergeCell ref="A2:K2"/>
    <mergeCell ref="A1:K1"/>
    <mergeCell ref="H13:I13"/>
    <mergeCell ref="H14:I14"/>
    <mergeCell ref="E4:F4"/>
    <mergeCell ref="E5:F5"/>
    <mergeCell ref="E9:F9"/>
    <mergeCell ref="E10:F10"/>
    <mergeCell ref="E13:G13"/>
    <mergeCell ref="E14:G14"/>
    <mergeCell ref="A14:B14"/>
    <mergeCell ref="C14:D14"/>
    <mergeCell ref="C4:D4"/>
    <mergeCell ref="A13:B13"/>
    <mergeCell ref="C13:D13"/>
    <mergeCell ref="J4:K4"/>
    <mergeCell ref="J5:K5"/>
    <mergeCell ref="G4:H4"/>
    <mergeCell ref="G5:H5"/>
    <mergeCell ref="J13:K13"/>
    <mergeCell ref="J14:K14"/>
    <mergeCell ref="J9:K9"/>
    <mergeCell ref="C10:D10"/>
    <mergeCell ref="G10:H10"/>
  </mergeCells>
  <conditionalFormatting sqref="I28">
    <cfRule type="expression" dxfId="2" priority="22">
      <formula>$F$28&lt;&gt;1</formula>
    </cfRule>
  </conditionalFormatting>
  <conditionalFormatting sqref="D28:G28">
    <cfRule type="cellIs" dxfId="1" priority="1" operator="lessThan">
      <formula>1</formula>
    </cfRule>
    <cfRule type="cellIs" dxfId="0" priority="2" operator="greaterThan">
      <formula>1</formula>
    </cfRule>
  </conditionalFormatting>
  <printOptions horizontalCentered="1"/>
  <pageMargins left="0.25" right="0.25" top="0.75" bottom="0.75" header="0.3" footer="0.3"/>
  <pageSetup paperSize="9" scale="47" orientation="portrait" r:id="rId1"/>
  <rowBreaks count="2" manualBreakCount="2">
    <brk id="29" max="9" man="1"/>
    <brk id="70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91"/>
  <sheetViews>
    <sheetView showGridLines="0" tabSelected="1" topLeftCell="A31" zoomScale="64" zoomScaleNormal="64" zoomScaleSheetLayoutView="85" workbookViewId="0">
      <selection activeCell="D48" sqref="D48:H48"/>
    </sheetView>
  </sheetViews>
  <sheetFormatPr defaultRowHeight="15"/>
  <cols>
    <col min="1" max="1" width="9" customWidth="1"/>
    <col min="2" max="2" width="24.42578125" customWidth="1"/>
    <col min="3" max="3" width="17.28515625" customWidth="1"/>
    <col min="4" max="4" width="28" customWidth="1"/>
    <col min="5" max="5" width="5.7109375" customWidth="1"/>
    <col min="6" max="6" width="21.7109375" customWidth="1"/>
    <col min="7" max="7" width="19.140625" customWidth="1"/>
    <col min="8" max="8" width="13.5703125" customWidth="1"/>
    <col min="9" max="9" width="12.5703125" customWidth="1"/>
    <col min="10" max="10" width="17.85546875" customWidth="1"/>
    <col min="11" max="11" width="11.85546875" customWidth="1"/>
    <col min="12" max="12" width="9.140625" customWidth="1"/>
    <col min="13" max="14" width="9.140625" hidden="1" customWidth="1"/>
    <col min="15" max="15" width="17.28515625" hidden="1" customWidth="1"/>
    <col min="16" max="16" width="15" hidden="1" customWidth="1"/>
    <col min="17" max="17" width="17.85546875" hidden="1" customWidth="1"/>
  </cols>
  <sheetData>
    <row r="1" spans="1:18" ht="46.5">
      <c r="A1" s="375" t="s">
        <v>112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N1" s="111">
        <v>1</v>
      </c>
      <c r="O1" s="124" t="s">
        <v>113</v>
      </c>
      <c r="P1" s="167">
        <v>9</v>
      </c>
      <c r="Q1" s="167" t="s">
        <v>58</v>
      </c>
    </row>
    <row r="2" spans="1:18" ht="0.75" customHeight="1">
      <c r="A2" s="110" t="s">
        <v>0</v>
      </c>
      <c r="B2" s="123"/>
      <c r="E2" s="110" t="s">
        <v>57</v>
      </c>
      <c r="J2" s="108"/>
      <c r="K2" s="108"/>
      <c r="L2" s="109"/>
      <c r="N2" s="124"/>
      <c r="O2" s="124" t="s">
        <v>114</v>
      </c>
      <c r="P2" s="167"/>
      <c r="Q2" s="167" t="s">
        <v>59</v>
      </c>
    </row>
    <row r="3" spans="1:18" ht="30" customHeight="1">
      <c r="A3" s="112" t="s">
        <v>39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9"/>
      <c r="N3" s="124"/>
      <c r="O3" s="124" t="s">
        <v>115</v>
      </c>
      <c r="P3" s="167"/>
      <c r="Q3" s="167" t="s">
        <v>60</v>
      </c>
    </row>
    <row r="4" spans="1:18" ht="45" customHeight="1">
      <c r="A4" s="376" t="s">
        <v>1</v>
      </c>
      <c r="B4" s="376"/>
      <c r="C4" s="320" t="s">
        <v>85</v>
      </c>
      <c r="D4" s="320"/>
      <c r="E4" s="320" t="s">
        <v>40</v>
      </c>
      <c r="F4" s="320"/>
      <c r="G4" s="320"/>
      <c r="H4" s="320" t="s">
        <v>103</v>
      </c>
      <c r="I4" s="320"/>
      <c r="J4" s="320"/>
      <c r="K4" s="108"/>
      <c r="L4" s="109"/>
      <c r="P4" s="167"/>
      <c r="Q4" s="167" t="s">
        <v>61</v>
      </c>
    </row>
    <row r="5" spans="1:18" ht="29.25" customHeight="1">
      <c r="A5" s="377">
        <f>CHOOSE($N$1,'Исходные данные'!$A$5,'Исходные данные'!$A$10,'Исходные данные'!$A$14)</f>
        <v>130</v>
      </c>
      <c r="B5" s="377"/>
      <c r="C5" s="377">
        <f>CHOOSE($N$1,'Исходные данные'!E5,'Исходные данные'!E10,0)</f>
        <v>50</v>
      </c>
      <c r="D5" s="377"/>
      <c r="E5" s="377">
        <f>CHOOSE($N$1,'Исходные данные'!I5,'Исходные данные'!I10,'Исходные данные'!$H$14)</f>
        <v>175</v>
      </c>
      <c r="F5" s="377"/>
      <c r="G5" s="377"/>
      <c r="H5" s="378">
        <f>CHOOSE($N$1,'Исходные данные'!$J$5,'Исходные данные'!J10,'Исходные данные'!$J$14)</f>
        <v>345</v>
      </c>
      <c r="I5" s="378"/>
      <c r="J5" s="378"/>
      <c r="K5" s="108"/>
      <c r="L5" s="109"/>
      <c r="P5" s="167"/>
      <c r="Q5" s="167" t="s">
        <v>62</v>
      </c>
    </row>
    <row r="6" spans="1:18">
      <c r="A6" s="9"/>
      <c r="B6" s="9"/>
      <c r="C6" s="9"/>
      <c r="D6" s="9"/>
      <c r="E6" s="9"/>
      <c r="F6" s="9"/>
      <c r="G6" s="9"/>
      <c r="H6" s="9"/>
      <c r="I6" s="9"/>
      <c r="J6" s="9"/>
      <c r="P6" s="167"/>
      <c r="Q6" s="167" t="s">
        <v>63</v>
      </c>
    </row>
    <row r="7" spans="1:18" ht="26.25">
      <c r="A7" s="112" t="s">
        <v>169</v>
      </c>
      <c r="P7" s="167"/>
      <c r="Q7" s="167" t="s">
        <v>64</v>
      </c>
    </row>
    <row r="8" spans="1:18" s="2" customFormat="1" ht="37.5" customHeight="1">
      <c r="A8" s="339" t="s">
        <v>2</v>
      </c>
      <c r="B8" s="339"/>
      <c r="C8" s="340"/>
      <c r="D8" s="116" t="s">
        <v>47</v>
      </c>
      <c r="E8" s="338" t="s">
        <v>106</v>
      </c>
      <c r="F8" s="338"/>
      <c r="G8" s="341" t="s">
        <v>45</v>
      </c>
      <c r="H8" s="343"/>
      <c r="I8" s="341" t="s">
        <v>107</v>
      </c>
      <c r="J8" s="343"/>
      <c r="K8" s="100"/>
      <c r="N8" s="100"/>
      <c r="O8" s="103"/>
      <c r="P8" s="168"/>
      <c r="Q8" s="167" t="s">
        <v>65</v>
      </c>
      <c r="R8" s="104"/>
    </row>
    <row r="9" spans="1:18" ht="50.1" customHeight="1">
      <c r="A9" s="233"/>
      <c r="B9" s="329" t="s">
        <v>191</v>
      </c>
      <c r="C9" s="330"/>
      <c r="D9" s="155">
        <f>CHOOSE($N$1,'Исходные данные'!$D19,'Исходные данные'!$F19,'Исходные данные'!$G19)</f>
        <v>0.27</v>
      </c>
      <c r="E9" s="367">
        <f>I9/(1+G9)</f>
        <v>203765.62500000003</v>
      </c>
      <c r="F9" s="367">
        <v>1.43</v>
      </c>
      <c r="G9" s="365">
        <f>CHOOSE($N$1,'Исходные данные'!$H19,'Исходные данные'!$I19,'Исходные данные'!$J19)</f>
        <v>1.4</v>
      </c>
      <c r="H9" s="366"/>
      <c r="I9" s="367">
        <f>$H$5*30*$E$5*D9</f>
        <v>489037.50000000006</v>
      </c>
      <c r="J9" s="367" t="e">
        <f>D9*#REF!</f>
        <v>#REF!</v>
      </c>
      <c r="K9" s="7"/>
      <c r="O9" s="104"/>
      <c r="P9" s="167"/>
      <c r="Q9" s="167" t="s">
        <v>66</v>
      </c>
      <c r="R9" s="105"/>
    </row>
    <row r="10" spans="1:18" ht="50.1" customHeight="1">
      <c r="A10" s="233"/>
      <c r="B10" s="289" t="s">
        <v>197</v>
      </c>
      <c r="C10" s="290"/>
      <c r="D10" s="155">
        <f>CHOOSE($N$1,'Исходные данные'!$D20,'Исходные данные'!$F20,'Исходные данные'!$G20)</f>
        <v>0.05</v>
      </c>
      <c r="E10" s="367">
        <f>I10/(1+G10)</f>
        <v>20125</v>
      </c>
      <c r="F10" s="367">
        <v>1.43</v>
      </c>
      <c r="G10" s="365">
        <v>3.5</v>
      </c>
      <c r="H10" s="366"/>
      <c r="I10" s="367">
        <f>$H$5*30*$E$5*D10</f>
        <v>90562.5</v>
      </c>
      <c r="J10" s="367" t="e">
        <f>D10*#REF!</f>
        <v>#REF!</v>
      </c>
      <c r="K10" s="287"/>
      <c r="O10" s="104"/>
      <c r="P10" s="167"/>
      <c r="Q10" s="167" t="s">
        <v>67</v>
      </c>
      <c r="R10" s="105"/>
    </row>
    <row r="11" spans="1:18" ht="50.1" customHeight="1">
      <c r="A11" s="233"/>
      <c r="B11" s="329" t="s">
        <v>196</v>
      </c>
      <c r="C11" s="330"/>
      <c r="D11" s="155">
        <f>CHOOSE($N$1,'Исходные данные'!$D21,'Исходные данные'!$F21,'Исходные данные'!$G21)</f>
        <v>0.15</v>
      </c>
      <c r="E11" s="367">
        <f t="shared" ref="E11:E17" si="0">I11/(1+G11)</f>
        <v>124627.29357798166</v>
      </c>
      <c r="F11" s="367">
        <v>2.4300000000000002</v>
      </c>
      <c r="G11" s="365">
        <f>CHOOSE($N$1,'Исходные данные'!$H21,'Исходные данные'!$I21,'Исходные данные'!$J21)</f>
        <v>1.18</v>
      </c>
      <c r="H11" s="366"/>
      <c r="I11" s="367">
        <f t="shared" ref="I11:I16" si="1">$H$5*30*$E$5*D11</f>
        <v>271687.5</v>
      </c>
      <c r="J11" s="367" t="e">
        <f>D11*#REF!</f>
        <v>#REF!</v>
      </c>
      <c r="K11" s="7"/>
      <c r="O11" s="106"/>
      <c r="P11" s="167"/>
      <c r="Q11" s="167" t="s">
        <v>68</v>
      </c>
      <c r="R11" s="105"/>
    </row>
    <row r="12" spans="1:18" ht="50.1" customHeight="1">
      <c r="A12" s="233"/>
      <c r="B12" s="329" t="s">
        <v>198</v>
      </c>
      <c r="C12" s="330"/>
      <c r="D12" s="155">
        <f>CHOOSE($N$1,'Исходные данные'!$D22,'Исходные данные'!$F22,'Исходные данные'!$G22)</f>
        <v>0.14000000000000001</v>
      </c>
      <c r="E12" s="367">
        <f t="shared" si="0"/>
        <v>103500</v>
      </c>
      <c r="F12" s="367">
        <v>3.43</v>
      </c>
      <c r="G12" s="365">
        <f>CHOOSE($N$1,'Исходные данные'!$H22,'Исходные данные'!$I22,'Исходные данные'!$J22)</f>
        <v>1.45</v>
      </c>
      <c r="H12" s="366"/>
      <c r="I12" s="367">
        <f t="shared" si="1"/>
        <v>253575.00000000003</v>
      </c>
      <c r="J12" s="367" t="e">
        <f>D12*#REF!</f>
        <v>#REF!</v>
      </c>
      <c r="K12" s="7"/>
      <c r="O12" s="106"/>
      <c r="P12" s="167"/>
      <c r="Q12" s="167" t="s">
        <v>69</v>
      </c>
      <c r="R12" s="105"/>
    </row>
    <row r="13" spans="1:18" ht="50.1" customHeight="1">
      <c r="A13" s="126"/>
      <c r="B13" s="329" t="s">
        <v>195</v>
      </c>
      <c r="C13" s="330"/>
      <c r="D13" s="155">
        <f>CHOOSE($N$1,'Исходные данные'!$D23,'Исходные данные'!$F23,'Исходные данные'!$G23)</f>
        <v>0.01</v>
      </c>
      <c r="E13" s="367">
        <f t="shared" si="0"/>
        <v>6445.7295373665484</v>
      </c>
      <c r="F13" s="367">
        <v>4.43</v>
      </c>
      <c r="G13" s="365">
        <f>CHOOSE($N$1,'Исходные данные'!$H23,'Исходные данные'!$I23,'Исходные данные'!$J23)</f>
        <v>1.81</v>
      </c>
      <c r="H13" s="366"/>
      <c r="I13" s="367">
        <f t="shared" si="1"/>
        <v>18112.5</v>
      </c>
      <c r="J13" s="367" t="e">
        <f>D13*#REF!</f>
        <v>#REF!</v>
      </c>
      <c r="K13" s="7"/>
      <c r="O13" s="106"/>
      <c r="P13" s="167"/>
      <c r="R13" s="105"/>
    </row>
    <row r="14" spans="1:18" ht="50.1" customHeight="1">
      <c r="A14" s="126"/>
      <c r="B14" s="329" t="s">
        <v>3</v>
      </c>
      <c r="C14" s="330"/>
      <c r="D14" s="155">
        <f>CHOOSE($N$1,'Исходные данные'!$D24,'Исходные данные'!$F24,'Исходные данные'!$G24)</f>
        <v>2.5000000000000001E-2</v>
      </c>
      <c r="E14" s="367">
        <f t="shared" si="0"/>
        <v>19602.272727272728</v>
      </c>
      <c r="F14" s="367">
        <v>5.43</v>
      </c>
      <c r="G14" s="365">
        <f>CHOOSE($N$1,'Исходные данные'!$H24,'Исходные данные'!$I24,'Исходные данные'!$J24)</f>
        <v>1.31</v>
      </c>
      <c r="H14" s="366"/>
      <c r="I14" s="367">
        <f t="shared" si="1"/>
        <v>45281.25</v>
      </c>
      <c r="J14" s="367" t="e">
        <f>D14*#REF!</f>
        <v>#REF!</v>
      </c>
      <c r="K14" s="7"/>
      <c r="M14" s="125"/>
      <c r="O14" s="106"/>
      <c r="P14" s="105"/>
      <c r="R14" s="105"/>
    </row>
    <row r="15" spans="1:18" ht="50.1" customHeight="1">
      <c r="A15" s="126"/>
      <c r="B15" s="329" t="s">
        <v>121</v>
      </c>
      <c r="C15" s="330"/>
      <c r="D15" s="155">
        <f>CHOOSE($N$1,'Исходные данные'!$D25,'Исходные данные'!$F25,'Исходные данные'!$G25)</f>
        <v>0.21</v>
      </c>
      <c r="E15" s="367">
        <f t="shared" si="0"/>
        <v>126787.5</v>
      </c>
      <c r="F15" s="367">
        <v>6.43</v>
      </c>
      <c r="G15" s="365">
        <f>CHOOSE($N$1,'Исходные данные'!$H25,'Исходные данные'!$I25,'Исходные данные'!$J25)</f>
        <v>2</v>
      </c>
      <c r="H15" s="366"/>
      <c r="I15" s="367">
        <f>$H$5*30*$E$5*D15</f>
        <v>380362.5</v>
      </c>
      <c r="J15" s="367" t="e">
        <f>D15*#REF!</f>
        <v>#REF!</v>
      </c>
      <c r="K15" s="7"/>
      <c r="O15" s="106"/>
      <c r="P15" s="105"/>
      <c r="Q15" s="105"/>
      <c r="R15" s="105"/>
    </row>
    <row r="16" spans="1:18" ht="50.1" customHeight="1">
      <c r="A16" s="126"/>
      <c r="B16" s="329" t="s">
        <v>193</v>
      </c>
      <c r="C16" s="330"/>
      <c r="D16" s="155">
        <f>CHOOSE($N$1,'Исходные данные'!$D26,'Исходные данные'!$F26,'Исходные данные'!$G26)</f>
        <v>0.16</v>
      </c>
      <c r="E16" s="367">
        <f t="shared" si="0"/>
        <v>128800</v>
      </c>
      <c r="F16" s="367">
        <v>7.43</v>
      </c>
      <c r="G16" s="365">
        <f>CHOOSE($N$1,'Исходные данные'!$H26,'Исходные данные'!$I26,'Исходные данные'!$J26)</f>
        <v>1.25</v>
      </c>
      <c r="H16" s="366"/>
      <c r="I16" s="367">
        <f t="shared" si="1"/>
        <v>289800</v>
      </c>
      <c r="J16" s="367" t="e">
        <f>D16*#REF!</f>
        <v>#REF!</v>
      </c>
      <c r="K16" s="7"/>
      <c r="O16" s="106"/>
      <c r="P16" s="105"/>
      <c r="Q16" s="105"/>
      <c r="R16" s="105"/>
    </row>
    <row r="17" spans="1:27" ht="50.1" customHeight="1">
      <c r="A17" s="126"/>
      <c r="B17" s="329" t="s">
        <v>194</v>
      </c>
      <c r="C17" s="329"/>
      <c r="D17" s="155">
        <f>CHOOSE($N$1,'Исходные данные'!$D27,'Исходные данные'!$F27,'Исходные данные'!$G27)</f>
        <v>0.03</v>
      </c>
      <c r="E17" s="367">
        <f t="shared" si="0"/>
        <v>26377.427184466018</v>
      </c>
      <c r="F17" s="367">
        <v>8.43</v>
      </c>
      <c r="G17" s="365">
        <f>CHOOSE($N$1,'Исходные данные'!$H27,'Исходные данные'!$I27,'Исходные данные'!$J27)</f>
        <v>1.06</v>
      </c>
      <c r="H17" s="366"/>
      <c r="I17" s="367">
        <f>$H$5*30*$E$5*D17</f>
        <v>54337.5</v>
      </c>
      <c r="J17" s="367" t="e">
        <f>D17*#REF!</f>
        <v>#REF!</v>
      </c>
      <c r="K17" s="7"/>
      <c r="O17" s="106"/>
      <c r="P17" s="105"/>
      <c r="Q17" s="105"/>
      <c r="R17" s="105"/>
    </row>
    <row r="18" spans="1:27" ht="50.1" customHeight="1">
      <c r="A18" s="126"/>
      <c r="B18" s="331" t="s">
        <v>4</v>
      </c>
      <c r="C18" s="369"/>
      <c r="D18" s="158">
        <f>D9+D11+D12+D13+D14+D15+D16+D17+D10</f>
        <v>1.0450000000000002</v>
      </c>
      <c r="E18" s="391">
        <f>E9+E11+E12+E13+E14+E15+E16+E17</f>
        <v>739905.84802708705</v>
      </c>
      <c r="F18" s="392"/>
      <c r="G18" s="393" t="s">
        <v>46</v>
      </c>
      <c r="H18" s="393"/>
      <c r="I18" s="391">
        <f>I9+I11+I12+I13+I14+I15+I16+I17</f>
        <v>1802193.75</v>
      </c>
      <c r="J18" s="392"/>
      <c r="K18" s="7"/>
      <c r="L18" s="170"/>
      <c r="P18" s="107"/>
      <c r="Q18" s="107"/>
      <c r="R18" s="107"/>
    </row>
    <row r="19" spans="1:27">
      <c r="A19" s="204"/>
      <c r="B19" s="9"/>
      <c r="C19" s="9"/>
      <c r="D19" s="9"/>
      <c r="E19" s="9"/>
      <c r="F19" s="9"/>
      <c r="G19" s="10"/>
      <c r="H19" s="10"/>
      <c r="I19" s="10"/>
      <c r="J19" s="9"/>
    </row>
    <row r="20" spans="1:27" ht="26.25">
      <c r="A20" s="112" t="s">
        <v>166</v>
      </c>
      <c r="P20" s="167"/>
      <c r="Q20" s="167"/>
    </row>
    <row r="21" spans="1:27" s="2" customFormat="1" ht="37.5" customHeight="1">
      <c r="A21" s="339" t="s">
        <v>2</v>
      </c>
      <c r="B21" s="339"/>
      <c r="C21" s="340"/>
      <c r="D21" s="228" t="s">
        <v>47</v>
      </c>
      <c r="E21" s="338" t="s">
        <v>106</v>
      </c>
      <c r="F21" s="338"/>
      <c r="G21" s="341" t="s">
        <v>45</v>
      </c>
      <c r="H21" s="343"/>
      <c r="I21" s="341" t="s">
        <v>107</v>
      </c>
      <c r="J21" s="343"/>
      <c r="K21" s="100"/>
      <c r="N21" s="100"/>
      <c r="O21" s="103"/>
      <c r="P21" s="168"/>
      <c r="Q21" s="167"/>
      <c r="R21" s="104"/>
    </row>
    <row r="22" spans="1:27" ht="50.1" customHeight="1">
      <c r="A22" s="233"/>
      <c r="B22" s="329" t="s">
        <v>119</v>
      </c>
      <c r="C22" s="330"/>
      <c r="D22" s="155">
        <f>CHOOSE($N$1,'Исходные данные'!E19,0,0)</f>
        <v>0</v>
      </c>
      <c r="E22" s="367">
        <f>I22/(1+G22)</f>
        <v>0</v>
      </c>
      <c r="F22" s="367">
        <v>1.43</v>
      </c>
      <c r="G22" s="365">
        <f>CHOOSE($N$1,'Исходные данные'!H19,0,0)</f>
        <v>1.4</v>
      </c>
      <c r="H22" s="366"/>
      <c r="I22" s="367">
        <f>$H$5*30*$E$5*D22*'Исходные данные'!$I$6</f>
        <v>0</v>
      </c>
      <c r="J22" s="367" t="e">
        <f>D22*#REF!</f>
        <v>#REF!</v>
      </c>
      <c r="K22" s="7"/>
      <c r="O22" s="104"/>
      <c r="P22" s="167"/>
      <c r="Q22" s="167"/>
      <c r="R22" s="105"/>
    </row>
    <row r="23" spans="1:27" ht="50.1" customHeight="1">
      <c r="A23" s="233"/>
      <c r="B23" s="329" t="s">
        <v>120</v>
      </c>
      <c r="C23" s="330"/>
      <c r="D23" s="155">
        <f>CHOOSE($N$1,'Исходные данные'!E21,0,0)</f>
        <v>0</v>
      </c>
      <c r="E23" s="367">
        <f t="shared" ref="E23:E26" si="2">I23/(1+G23)</f>
        <v>0</v>
      </c>
      <c r="F23" s="367">
        <v>2.4300000000000002</v>
      </c>
      <c r="G23" s="365">
        <f>CHOOSE($N$1,'Исходные данные'!H21,0,0)</f>
        <v>1.18</v>
      </c>
      <c r="H23" s="366"/>
      <c r="I23" s="367">
        <f>$H$5*30*$E$5*D23*'Исходные данные'!$I$6</f>
        <v>0</v>
      </c>
      <c r="J23" s="367" t="e">
        <f>D23*#REF!</f>
        <v>#REF!</v>
      </c>
      <c r="K23" s="7"/>
      <c r="O23" s="106"/>
      <c r="P23" s="167"/>
      <c r="Q23" s="167"/>
      <c r="R23" s="105"/>
    </row>
    <row r="24" spans="1:27" ht="50.1" customHeight="1">
      <c r="A24" s="126"/>
      <c r="B24" s="329" t="s">
        <v>121</v>
      </c>
      <c r="C24" s="330"/>
      <c r="D24" s="155">
        <f>CHOOSE($N$1,'Исходные данные'!E25,0,0)</f>
        <v>0</v>
      </c>
      <c r="E24" s="367">
        <f t="shared" si="2"/>
        <v>0</v>
      </c>
      <c r="F24" s="367">
        <v>6.43</v>
      </c>
      <c r="G24" s="365">
        <f>CHOOSE($N$1,'Исходные данные'!H25,0,0)</f>
        <v>2</v>
      </c>
      <c r="H24" s="366"/>
      <c r="I24" s="367">
        <f>$H$5*30*$E$5*D24*'Исходные данные'!$I$6</f>
        <v>0</v>
      </c>
      <c r="J24" s="367" t="e">
        <f>D24*#REF!</f>
        <v>#REF!</v>
      </c>
      <c r="K24" s="7"/>
      <c r="O24" s="106"/>
      <c r="P24" s="105"/>
      <c r="Q24" s="105"/>
      <c r="R24" s="105"/>
    </row>
    <row r="25" spans="1:27" ht="50.1" customHeight="1">
      <c r="A25" s="126"/>
      <c r="B25" s="329" t="s">
        <v>122</v>
      </c>
      <c r="C25" s="330"/>
      <c r="D25" s="155">
        <f>CHOOSE($N$1,'Исходные данные'!E26,0,0)</f>
        <v>0</v>
      </c>
      <c r="E25" s="367">
        <f t="shared" si="2"/>
        <v>0</v>
      </c>
      <c r="F25" s="367">
        <v>7.43</v>
      </c>
      <c r="G25" s="365">
        <f>CHOOSE($N$1,'Исходные данные'!H26,0,0)</f>
        <v>1.25</v>
      </c>
      <c r="H25" s="366"/>
      <c r="I25" s="367">
        <f>$H$5*30*$E$5*D25*'Исходные данные'!$I$6</f>
        <v>0</v>
      </c>
      <c r="J25" s="367" t="e">
        <f>D25*#REF!</f>
        <v>#REF!</v>
      </c>
      <c r="K25" s="7"/>
      <c r="O25" s="106"/>
      <c r="P25" s="105"/>
      <c r="Q25" s="105"/>
      <c r="R25" s="105"/>
    </row>
    <row r="26" spans="1:27" ht="50.1" customHeight="1">
      <c r="A26" s="126"/>
      <c r="B26" s="329" t="s">
        <v>92</v>
      </c>
      <c r="C26" s="329"/>
      <c r="D26" s="155">
        <f>CHOOSE($N$1,'Исходные данные'!E27,0,0)</f>
        <v>0</v>
      </c>
      <c r="E26" s="367">
        <f t="shared" si="2"/>
        <v>0</v>
      </c>
      <c r="F26" s="367">
        <v>8.43</v>
      </c>
      <c r="G26" s="365">
        <f>CHOOSE($N$1,'Исходные данные'!H27,0,0)</f>
        <v>1.06</v>
      </c>
      <c r="H26" s="366"/>
      <c r="I26" s="367">
        <f>$H$5*30*$E$5*D26*'Исходные данные'!$I$6</f>
        <v>0</v>
      </c>
      <c r="J26" s="367" t="e">
        <f>D26*#REF!</f>
        <v>#REF!</v>
      </c>
      <c r="K26" s="7"/>
      <c r="O26" s="106"/>
      <c r="P26" s="105"/>
      <c r="Q26" s="105"/>
      <c r="R26" s="105"/>
    </row>
    <row r="27" spans="1:27" ht="50.1" customHeight="1">
      <c r="A27" s="126"/>
      <c r="B27" s="331" t="s">
        <v>4</v>
      </c>
      <c r="C27" s="369"/>
      <c r="D27" s="231">
        <f>D22+D23+D24+D25+D26</f>
        <v>0</v>
      </c>
      <c r="E27" s="391">
        <f t="shared" ref="E27:F27" si="3">E22+E23+E24+E25+E26</f>
        <v>0</v>
      </c>
      <c r="F27" s="392">
        <f t="shared" si="3"/>
        <v>26.15</v>
      </c>
      <c r="G27" s="393" t="s">
        <v>46</v>
      </c>
      <c r="H27" s="393"/>
      <c r="I27" s="391">
        <f t="shared" ref="I27:J27" si="4">I22+I23+I24+I25+I26</f>
        <v>0</v>
      </c>
      <c r="J27" s="392" t="e">
        <f t="shared" si="4"/>
        <v>#REF!</v>
      </c>
      <c r="K27" s="7"/>
      <c r="L27" s="170"/>
      <c r="P27" s="107"/>
      <c r="Q27" s="107"/>
      <c r="R27" s="107"/>
    </row>
    <row r="28" spans="1:27">
      <c r="A28" s="204"/>
      <c r="B28" s="9"/>
      <c r="C28" s="9"/>
      <c r="D28" s="9"/>
      <c r="E28" s="9"/>
      <c r="F28" s="9"/>
      <c r="G28" s="10"/>
      <c r="H28" s="10"/>
      <c r="I28" s="10"/>
      <c r="J28" s="9"/>
    </row>
    <row r="29" spans="1:27" ht="24.75" customHeight="1">
      <c r="A29" s="1" t="s">
        <v>5</v>
      </c>
      <c r="G29" s="8"/>
      <c r="H29" s="8"/>
      <c r="I29" s="8"/>
    </row>
    <row r="30" spans="1:27" ht="15.75">
      <c r="D30" s="115" t="s">
        <v>48</v>
      </c>
      <c r="E30" s="380" t="s">
        <v>108</v>
      </c>
      <c r="F30" s="380"/>
      <c r="G30" s="140"/>
      <c r="K30" s="126"/>
      <c r="L30" s="126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</row>
    <row r="31" spans="1:27" ht="39.950000000000003" customHeight="1">
      <c r="A31" s="126"/>
      <c r="B31" s="323" t="s">
        <v>95</v>
      </c>
      <c r="C31" s="324"/>
      <c r="D31" s="151">
        <f>A5</f>
        <v>130</v>
      </c>
      <c r="E31" s="344">
        <v>11000</v>
      </c>
      <c r="F31" s="344"/>
      <c r="G31" s="128" t="str">
        <f>"* "&amp;D31&amp;" кв. м ="</f>
        <v>* 130 кв. м =</v>
      </c>
      <c r="H31" s="373">
        <f>E31*D31</f>
        <v>1430000</v>
      </c>
      <c r="I31" s="373"/>
      <c r="J31" s="129" t="s">
        <v>105</v>
      </c>
      <c r="K31" s="130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</row>
    <row r="32" spans="1:27" ht="6.95" customHeight="1">
      <c r="A32" s="6"/>
      <c r="B32" s="137"/>
      <c r="C32" s="137"/>
      <c r="D32" s="5"/>
      <c r="E32" s="5"/>
      <c r="F32" s="5"/>
      <c r="H32" s="5"/>
      <c r="J32" s="131"/>
      <c r="K32" s="132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</row>
    <row r="33" spans="1:26" ht="39.950000000000003" customHeight="1">
      <c r="A33" s="126"/>
      <c r="B33" s="329" t="s">
        <v>91</v>
      </c>
      <c r="C33" s="330"/>
      <c r="D33" s="356">
        <f>CHOOSE($N$1,'Исходные данные'!$D$38,'Исходные данные'!$F$38,'Исходные данные'!$H$38)</f>
        <v>550000</v>
      </c>
      <c r="E33" s="356"/>
      <c r="F33" s="356"/>
      <c r="G33" s="356"/>
      <c r="H33" s="356"/>
      <c r="I33" s="356"/>
      <c r="J33" s="129" t="s">
        <v>105</v>
      </c>
      <c r="K33" s="130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</row>
    <row r="34" spans="1:26" ht="6.95" customHeight="1">
      <c r="A34" s="6"/>
      <c r="B34" s="137"/>
      <c r="C34" s="137"/>
      <c r="D34" s="5"/>
      <c r="E34" s="5"/>
      <c r="F34" s="5"/>
      <c r="H34" s="5"/>
      <c r="J34" s="131"/>
      <c r="K34" s="132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</row>
    <row r="35" spans="1:26" ht="39.950000000000003" customHeight="1">
      <c r="A35" s="126"/>
      <c r="B35" s="329" t="s">
        <v>127</v>
      </c>
      <c r="C35" s="330"/>
      <c r="D35" s="356">
        <v>1350000</v>
      </c>
      <c r="E35" s="356"/>
      <c r="F35" s="356"/>
      <c r="G35" s="356"/>
      <c r="H35" s="356"/>
      <c r="I35" s="356"/>
      <c r="J35" s="129" t="s">
        <v>105</v>
      </c>
      <c r="K35" s="130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</row>
    <row r="36" spans="1:26" ht="6.95" customHeight="1">
      <c r="A36" s="126"/>
      <c r="B36" s="138"/>
      <c r="C36" s="138"/>
      <c r="D36" s="152"/>
      <c r="E36" s="152"/>
      <c r="F36" s="152"/>
      <c r="G36" s="152"/>
      <c r="H36" s="152"/>
      <c r="I36" s="153"/>
      <c r="J36" s="133"/>
      <c r="K36" s="134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</row>
    <row r="37" spans="1:26" ht="39.950000000000003" customHeight="1">
      <c r="A37" s="126"/>
      <c r="B37" s="323" t="s">
        <v>50</v>
      </c>
      <c r="C37" s="324"/>
      <c r="D37" s="356">
        <v>100000</v>
      </c>
      <c r="E37" s="356"/>
      <c r="F37" s="356"/>
      <c r="G37" s="356"/>
      <c r="H37" s="356"/>
      <c r="I37" s="356"/>
      <c r="J37" s="129" t="s">
        <v>105</v>
      </c>
      <c r="K37" s="130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</row>
    <row r="38" spans="1:26" ht="6.95" customHeight="1">
      <c r="A38" s="126"/>
      <c r="B38" s="138"/>
      <c r="C38" s="138"/>
      <c r="D38" s="152"/>
      <c r="E38" s="152"/>
      <c r="F38" s="152"/>
      <c r="G38" s="152"/>
      <c r="H38" s="152"/>
      <c r="I38" s="153"/>
      <c r="J38" s="133"/>
      <c r="K38" s="134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</row>
    <row r="39" spans="1:26" ht="39.950000000000003" customHeight="1">
      <c r="A39" s="141"/>
      <c r="B39" s="323" t="s">
        <v>90</v>
      </c>
      <c r="C39" s="324"/>
      <c r="D39" s="356">
        <v>50000</v>
      </c>
      <c r="E39" s="356"/>
      <c r="F39" s="356"/>
      <c r="G39" s="356"/>
      <c r="H39" s="356"/>
      <c r="I39" s="356"/>
      <c r="J39" s="129" t="s">
        <v>105</v>
      </c>
      <c r="K39" s="130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</row>
    <row r="40" spans="1:26" ht="6.95" customHeight="1">
      <c r="A40" s="126"/>
      <c r="B40" s="138"/>
      <c r="C40" s="138"/>
      <c r="D40" s="152"/>
      <c r="E40" s="152"/>
      <c r="F40" s="152"/>
      <c r="G40" s="152"/>
      <c r="H40" s="152"/>
      <c r="I40" s="153"/>
      <c r="J40" s="133"/>
      <c r="K40" s="134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</row>
    <row r="41" spans="1:26" ht="39.950000000000003" customHeight="1">
      <c r="A41" s="141"/>
      <c r="B41" s="323" t="s">
        <v>88</v>
      </c>
      <c r="C41" s="324"/>
      <c r="D41" s="356">
        <f>CHOOSE($N$1,'Исходные данные'!$D$42,'Исходные данные'!$F$42,'Исходные данные'!$H$42)</f>
        <v>50000</v>
      </c>
      <c r="E41" s="356"/>
      <c r="F41" s="356"/>
      <c r="G41" s="356"/>
      <c r="H41" s="356"/>
      <c r="I41" s="356"/>
      <c r="J41" s="129" t="s">
        <v>105</v>
      </c>
      <c r="K41" s="130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</row>
    <row r="42" spans="1:26" ht="6.95" customHeight="1">
      <c r="A42" s="126"/>
      <c r="B42" s="138"/>
      <c r="C42" s="138"/>
      <c r="D42" s="152"/>
      <c r="E42" s="152"/>
      <c r="F42" s="152"/>
      <c r="G42" s="152"/>
      <c r="H42" s="152"/>
      <c r="I42" s="153"/>
      <c r="J42" s="133"/>
      <c r="K42" s="134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</row>
    <row r="43" spans="1:26" ht="39.950000000000003" customHeight="1">
      <c r="A43" s="126"/>
      <c r="B43" s="323" t="s">
        <v>49</v>
      </c>
      <c r="C43" s="324"/>
      <c r="D43" s="356">
        <f>CHOOSE($N$1,'Исходные данные'!$D$43,'Исходные данные'!$F$43,'Исходные данные'!$H$43)</f>
        <v>270000</v>
      </c>
      <c r="E43" s="356"/>
      <c r="F43" s="356"/>
      <c r="G43" s="356"/>
      <c r="H43" s="356"/>
      <c r="I43" s="356"/>
      <c r="J43" s="129" t="s">
        <v>105</v>
      </c>
      <c r="K43" s="130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</row>
    <row r="44" spans="1:26" ht="18.75" customHeight="1">
      <c r="A44" s="6"/>
      <c r="B44" s="139"/>
      <c r="C44" s="139"/>
      <c r="D44" s="374"/>
      <c r="E44" s="374"/>
      <c r="F44" s="374"/>
      <c r="G44" s="374"/>
      <c r="H44" s="374"/>
      <c r="I44" s="153"/>
      <c r="J44" s="135"/>
      <c r="K44" s="136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</row>
    <row r="45" spans="1:26" ht="39.950000000000003" customHeight="1">
      <c r="A45" s="126"/>
      <c r="B45" s="323" t="s">
        <v>201</v>
      </c>
      <c r="C45" s="324"/>
      <c r="D45" s="356">
        <v>130000</v>
      </c>
      <c r="E45" s="356"/>
      <c r="F45" s="356"/>
      <c r="G45" s="356"/>
      <c r="H45" s="356"/>
      <c r="I45" s="356"/>
      <c r="J45" s="129" t="s">
        <v>105</v>
      </c>
      <c r="K45" s="130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</row>
    <row r="46" spans="1:26" ht="6.95" customHeight="1">
      <c r="A46" s="126"/>
      <c r="B46" s="138"/>
      <c r="C46" s="138"/>
      <c r="D46" s="374"/>
      <c r="E46" s="374"/>
      <c r="F46" s="374"/>
      <c r="G46" s="374"/>
      <c r="H46" s="374"/>
      <c r="I46" s="153"/>
      <c r="J46" s="133"/>
      <c r="K46" s="134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</row>
    <row r="47" spans="1:26" ht="39.950000000000003" customHeight="1">
      <c r="A47" s="126"/>
      <c r="B47" s="323" t="s">
        <v>38</v>
      </c>
      <c r="C47" s="324"/>
      <c r="D47" s="356">
        <v>378000</v>
      </c>
      <c r="E47" s="356"/>
      <c r="F47" s="356"/>
      <c r="G47" s="356"/>
      <c r="H47" s="356"/>
      <c r="I47" s="356"/>
      <c r="J47" s="129" t="s">
        <v>105</v>
      </c>
      <c r="K47" s="130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</row>
    <row r="48" spans="1:26" ht="6.95" customHeight="1">
      <c r="A48" s="126"/>
      <c r="B48" s="138"/>
      <c r="C48" s="138"/>
      <c r="D48" s="374"/>
      <c r="E48" s="374"/>
      <c r="F48" s="374"/>
      <c r="G48" s="374"/>
      <c r="H48" s="374"/>
      <c r="I48" s="153"/>
      <c r="J48" s="135"/>
      <c r="K48" s="136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</row>
    <row r="49" spans="1:27" ht="39.950000000000003" customHeight="1">
      <c r="A49" s="126"/>
      <c r="B49" s="323" t="s">
        <v>11</v>
      </c>
      <c r="C49" s="324"/>
      <c r="D49" s="356">
        <f>CHOOSE($N$1,'Исходные данные'!$D$46,'Исходные данные'!$F$46,'Исходные данные'!$H$46)</f>
        <v>150000</v>
      </c>
      <c r="E49" s="356"/>
      <c r="F49" s="356"/>
      <c r="G49" s="356"/>
      <c r="H49" s="356"/>
      <c r="I49" s="356"/>
      <c r="J49" s="129" t="s">
        <v>105</v>
      </c>
      <c r="K49" s="130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</row>
    <row r="50" spans="1:27" ht="6.95" customHeight="1">
      <c r="A50" s="126"/>
      <c r="B50" s="138"/>
      <c r="C50" s="138"/>
      <c r="D50" s="374"/>
      <c r="E50" s="374"/>
      <c r="F50" s="374"/>
      <c r="G50" s="374"/>
      <c r="H50" s="374"/>
      <c r="I50" s="153"/>
      <c r="J50" s="135"/>
      <c r="K50" s="136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</row>
    <row r="51" spans="1:27" ht="39.950000000000003" customHeight="1">
      <c r="A51" s="126"/>
      <c r="B51" s="348" t="s">
        <v>4</v>
      </c>
      <c r="C51" s="349"/>
      <c r="D51" s="390">
        <f>H31+D35+D37+D41+D43+D45+D47+D49+D33+D39</f>
        <v>4458000</v>
      </c>
      <c r="E51" s="390"/>
      <c r="F51" s="390"/>
      <c r="G51" s="390"/>
      <c r="H51" s="390"/>
      <c r="I51" s="390"/>
      <c r="J51" s="129" t="s">
        <v>105</v>
      </c>
      <c r="K51" s="130"/>
      <c r="L51" s="170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</row>
    <row r="52" spans="1:27" ht="12.75" customHeight="1">
      <c r="A52" s="368"/>
      <c r="B52" s="368"/>
      <c r="C52" s="368"/>
      <c r="D52" s="368"/>
      <c r="E52" s="368"/>
      <c r="F52" s="368"/>
      <c r="G52" s="368"/>
      <c r="H52" s="368"/>
      <c r="I52" s="368"/>
      <c r="J52" s="368"/>
      <c r="K52" s="130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</row>
    <row r="53" spans="1:27" ht="24.75" customHeight="1">
      <c r="A53" s="1" t="s">
        <v>6</v>
      </c>
      <c r="D53" s="100" t="s">
        <v>7</v>
      </c>
      <c r="H53" s="358" t="s">
        <v>15</v>
      </c>
      <c r="I53" s="358"/>
      <c r="J53" s="8"/>
    </row>
    <row r="54" spans="1:27" ht="42" customHeight="1">
      <c r="A54" s="6"/>
      <c r="B54" s="323" t="s">
        <v>139</v>
      </c>
      <c r="C54" s="324"/>
      <c r="D54" s="155">
        <f>H54/($I$18+$I$27)</f>
        <v>0.1113531772041713</v>
      </c>
      <c r="E54" s="3"/>
      <c r="H54" s="356">
        <f>H56+H58+H60+H62+H63+H64+H65</f>
        <v>200680</v>
      </c>
      <c r="I54" s="356"/>
      <c r="J54" s="7" t="s">
        <v>105</v>
      </c>
    </row>
    <row r="55" spans="1:27" ht="42" customHeight="1">
      <c r="A55" s="6"/>
      <c r="B55" s="238" t="s">
        <v>124</v>
      </c>
      <c r="C55" s="238"/>
      <c r="D55" s="238" t="s">
        <v>124</v>
      </c>
      <c r="E55" s="239"/>
      <c r="F55" s="240"/>
      <c r="G55" s="240"/>
      <c r="H55" s="381" t="s">
        <v>124</v>
      </c>
      <c r="I55" s="381"/>
      <c r="J55" s="241"/>
    </row>
    <row r="56" spans="1:27" ht="24.75" customHeight="1">
      <c r="A56" s="126"/>
      <c r="B56" s="371" t="s">
        <v>155</v>
      </c>
      <c r="C56" s="372"/>
      <c r="D56" s="256">
        <f>H56/($I$18+$I$27)</f>
        <v>1.6646378892391563E-2</v>
      </c>
      <c r="E56" s="239"/>
      <c r="F56" s="242"/>
      <c r="G56" s="242"/>
      <c r="H56" s="379">
        <f>CHOOSE($N$1,'Исходные данные'!$D$62,'Исходные данные'!$F$62,0)</f>
        <v>30000</v>
      </c>
      <c r="I56" s="379"/>
      <c r="J56" s="241" t="s">
        <v>105</v>
      </c>
    </row>
    <row r="57" spans="1:27" ht="15" customHeight="1">
      <c r="A57" s="126"/>
      <c r="B57" s="243"/>
      <c r="C57" s="243"/>
      <c r="D57" s="243"/>
      <c r="E57" s="244"/>
      <c r="F57" s="245" t="s">
        <v>150</v>
      </c>
      <c r="G57" s="246"/>
      <c r="H57" s="246"/>
      <c r="I57" s="247"/>
      <c r="J57" s="248"/>
      <c r="K57" s="126"/>
      <c r="L57" s="126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</row>
    <row r="58" spans="1:27" ht="24.75" customHeight="1">
      <c r="A58" s="126"/>
      <c r="B58" s="371" t="s">
        <v>151</v>
      </c>
      <c r="C58" s="372"/>
      <c r="D58" s="256">
        <f>H58/($I$18+$I$27)</f>
        <v>3.5423494283009248E-2</v>
      </c>
      <c r="E58" s="249"/>
      <c r="F58" s="257">
        <f>CHOOSE($N$1,'Исходные данные'!D69*4,'Исходные данные'!F69*4,'Исходные данные'!H69*4)</f>
        <v>672</v>
      </c>
      <c r="G58" s="250"/>
      <c r="H58" s="385">
        <f>CHOOSE($N$1,'Исходные данные'!$D$69*'Исходные данные'!$D$63*4,'Исходные данные'!$F$69*'Исходные данные'!$F$63*4,'Исходные данные'!$H$69*'Исходные данные'!$H$63*4)</f>
        <v>63840</v>
      </c>
      <c r="I58" s="385"/>
      <c r="J58" s="241" t="s">
        <v>105</v>
      </c>
      <c r="K58" s="142"/>
      <c r="L58" s="126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</row>
    <row r="59" spans="1:27" ht="15" customHeight="1">
      <c r="A59" s="126"/>
      <c r="B59" s="251"/>
      <c r="C59" s="252"/>
      <c r="D59" s="253"/>
      <c r="E59" s="249"/>
      <c r="F59" s="245" t="s">
        <v>150</v>
      </c>
      <c r="G59" s="250"/>
      <c r="H59" s="254"/>
      <c r="I59" s="255"/>
      <c r="J59" s="241"/>
      <c r="K59" s="142"/>
      <c r="L59" s="126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</row>
    <row r="60" spans="1:27" ht="24.75" hidden="1" customHeight="1">
      <c r="A60" s="126"/>
      <c r="B60" s="371" t="s">
        <v>152</v>
      </c>
      <c r="C60" s="372"/>
      <c r="D60" s="256">
        <f>H60/($I$18+$I$27)</f>
        <v>0</v>
      </c>
      <c r="E60" s="249"/>
      <c r="F60" s="257">
        <f>CHOOSE($N$1,'Исходные данные'!D69*4,'Исходные данные'!F69*4,'Исходные данные'!H69*4)</f>
        <v>672</v>
      </c>
      <c r="G60" s="242"/>
      <c r="H60" s="379">
        <f>CHOOSE($N$1,'Исходные данные'!$D$69*'Исходные данные'!$D$64*4,0,0)</f>
        <v>0</v>
      </c>
      <c r="I60" s="379"/>
      <c r="J60" s="241" t="s">
        <v>105</v>
      </c>
      <c r="K60" s="126"/>
      <c r="L60" s="126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</row>
    <row r="61" spans="1:27" ht="15" hidden="1" customHeight="1">
      <c r="A61" s="126"/>
      <c r="B61" s="243"/>
      <c r="C61" s="243"/>
      <c r="D61" s="243"/>
      <c r="E61" s="244"/>
      <c r="F61" s="245" t="s">
        <v>150</v>
      </c>
      <c r="G61" s="246"/>
      <c r="H61" s="246"/>
      <c r="I61" s="247"/>
      <c r="J61" s="248"/>
      <c r="K61" s="126"/>
      <c r="L61" s="126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</row>
    <row r="62" spans="1:27" ht="24.95" customHeight="1">
      <c r="A62" s="126"/>
      <c r="B62" s="371" t="s">
        <v>98</v>
      </c>
      <c r="C62" s="372"/>
      <c r="D62" s="256">
        <f t="shared" ref="D62:D65" si="5">H62/($I$18+$I$27)</f>
        <v>3.5423494283009248E-2</v>
      </c>
      <c r="E62" s="249"/>
      <c r="F62" s="257">
        <f>CHOOSE($N$1,'Исходные данные'!D69*4,'Исходные данные'!F69*4,'Исходные данные'!H69*4)</f>
        <v>672</v>
      </c>
      <c r="G62" s="250"/>
      <c r="H62" s="385">
        <f>CHOOSE($N$1,'Исходные данные'!$D$69*'Исходные данные'!$D$65*4,'Исходные данные'!$F$69*'Исходные данные'!$F$65*4,0)</f>
        <v>63840</v>
      </c>
      <c r="I62" s="385"/>
      <c r="J62" s="241" t="s">
        <v>105</v>
      </c>
      <c r="K62" s="142"/>
      <c r="L62" s="126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</row>
    <row r="63" spans="1:27" ht="24.95" customHeight="1">
      <c r="A63" s="126"/>
      <c r="B63" s="371" t="s">
        <v>153</v>
      </c>
      <c r="C63" s="372"/>
      <c r="D63" s="256">
        <f t="shared" si="5"/>
        <v>9.987827335434938E-3</v>
      </c>
      <c r="E63" s="239"/>
      <c r="F63" s="242"/>
      <c r="G63" s="242"/>
      <c r="H63" s="370">
        <f>CHOOSE($N$1,'Исходные данные'!$D$66,0,0)</f>
        <v>18000</v>
      </c>
      <c r="I63" s="370"/>
      <c r="J63" s="241" t="s">
        <v>105</v>
      </c>
    </row>
    <row r="64" spans="1:27" ht="24.95" customHeight="1">
      <c r="A64" s="126"/>
      <c r="B64" s="371" t="s">
        <v>154</v>
      </c>
      <c r="C64" s="372"/>
      <c r="D64" s="256">
        <f t="shared" si="5"/>
        <v>8.3231894461957816E-3</v>
      </c>
      <c r="E64" s="239"/>
      <c r="F64" s="242"/>
      <c r="G64" s="242"/>
      <c r="H64" s="370">
        <f>CHOOSE($N$1,'Исходные данные'!$D$67,0,0)</f>
        <v>15000</v>
      </c>
      <c r="I64" s="370"/>
      <c r="J64" s="241" t="s">
        <v>105</v>
      </c>
    </row>
    <row r="65" spans="1:27" ht="24.95" customHeight="1">
      <c r="A65" s="126"/>
      <c r="B65" s="371" t="s">
        <v>56</v>
      </c>
      <c r="C65" s="372"/>
      <c r="D65" s="256">
        <f t="shared" si="5"/>
        <v>5.5487929641305214E-3</v>
      </c>
      <c r="E65" s="239"/>
      <c r="F65" s="242"/>
      <c r="G65" s="242"/>
      <c r="H65" s="370">
        <f>CHOOSE($N$1,'Исходные данные'!$D$68,0,0)</f>
        <v>10000</v>
      </c>
      <c r="I65" s="370"/>
      <c r="J65" s="241" t="s">
        <v>105</v>
      </c>
    </row>
    <row r="66" spans="1:27" ht="13.5" customHeight="1">
      <c r="A66" s="1"/>
      <c r="D66" s="100"/>
      <c r="H66" s="8"/>
      <c r="I66" s="100"/>
      <c r="J66" s="8"/>
    </row>
    <row r="67" spans="1:27" ht="42" customHeight="1">
      <c r="A67" s="200"/>
      <c r="B67" s="336" t="s">
        <v>17</v>
      </c>
      <c r="C67" s="337"/>
      <c r="D67" s="155">
        <f>CHOOSE($N$1,'Исходные данные'!$D$74,'Исходные данные'!$F$74,'Исходные данные'!$H$74)</f>
        <v>3.5000000000000003E-2</v>
      </c>
      <c r="E67" s="3"/>
      <c r="H67" s="373">
        <f>D67*($I$18+$I$27)</f>
        <v>63076.781250000007</v>
      </c>
      <c r="I67" s="373"/>
      <c r="J67" s="7" t="s">
        <v>105</v>
      </c>
    </row>
    <row r="68" spans="1:27" ht="42" customHeight="1">
      <c r="A68" s="200"/>
      <c r="B68" s="336" t="s">
        <v>10</v>
      </c>
      <c r="C68" s="337"/>
      <c r="D68" s="155">
        <f>H68/($I$18+$I$27)</f>
        <v>0.41055843636517275</v>
      </c>
      <c r="E68" s="3"/>
      <c r="H68" s="373">
        <f>E18+E27</f>
        <v>739905.84802708705</v>
      </c>
      <c r="I68" s="373"/>
      <c r="J68" s="7" t="s">
        <v>105</v>
      </c>
      <c r="K68" s="170"/>
    </row>
    <row r="69" spans="1:27" ht="15" customHeight="1">
      <c r="A69" s="6"/>
      <c r="B69" s="386"/>
      <c r="C69" s="386"/>
      <c r="D69" s="147"/>
      <c r="E69" s="143"/>
      <c r="F69" s="149" t="s">
        <v>109</v>
      </c>
      <c r="G69" s="148"/>
      <c r="H69" s="148"/>
      <c r="I69" s="144"/>
      <c r="J69" s="145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</row>
    <row r="70" spans="1:27" ht="42" customHeight="1">
      <c r="A70" s="126"/>
      <c r="B70" s="332" t="s">
        <v>8</v>
      </c>
      <c r="C70" s="333"/>
      <c r="D70" s="155">
        <f t="shared" ref="D70:D84" si="6">H70/($I$18+$I$27)</f>
        <v>8.6561170240436136E-2</v>
      </c>
      <c r="E70" s="150"/>
      <c r="F70" s="201">
        <f>CHOOSE($N$1,'Исходные данные'!$D$75,'Исходные данные'!$F$75,'Исходные данные'!$H$75)</f>
        <v>1200</v>
      </c>
      <c r="G70" s="146" t="str">
        <f>"* "&amp;$A$5&amp;" кв.м ="</f>
        <v>* 130 кв.м =</v>
      </c>
      <c r="H70" s="344">
        <f>F70*$A$5</f>
        <v>156000</v>
      </c>
      <c r="I70" s="344"/>
      <c r="J70" s="7" t="s">
        <v>105</v>
      </c>
      <c r="K70" s="142"/>
      <c r="L70" s="126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</row>
    <row r="71" spans="1:27" ht="42" customHeight="1">
      <c r="A71" s="6"/>
      <c r="B71" s="323" t="s">
        <v>9</v>
      </c>
      <c r="C71" s="324"/>
      <c r="D71" s="155">
        <f t="shared" si="6"/>
        <v>1.6646378892391563E-2</v>
      </c>
      <c r="E71" s="3"/>
      <c r="H71" s="384">
        <f>CHOOSE($N$1,'Исходные данные'!$D$76,'Исходные данные'!$F$76,'Исходные данные'!$H$76)</f>
        <v>30000</v>
      </c>
      <c r="I71" s="384"/>
      <c r="J71" s="7" t="s">
        <v>105</v>
      </c>
    </row>
    <row r="72" spans="1:27" ht="42" customHeight="1">
      <c r="A72" s="126"/>
      <c r="B72" s="323" t="s">
        <v>55</v>
      </c>
      <c r="C72" s="324"/>
      <c r="D72" s="155">
        <f t="shared" si="6"/>
        <v>1.1097585928261043E-2</v>
      </c>
      <c r="E72" s="3"/>
      <c r="H72" s="382">
        <f>CHOOSE($N$1,'Исходные данные'!$D$77,'Исходные данные'!$F$77,'Исходные данные'!$H$77)</f>
        <v>20000</v>
      </c>
      <c r="I72" s="383"/>
      <c r="J72" s="7" t="s">
        <v>105</v>
      </c>
    </row>
    <row r="73" spans="1:27" ht="42" customHeight="1">
      <c r="A73" s="126"/>
      <c r="B73" s="323" t="s">
        <v>147</v>
      </c>
      <c r="C73" s="324"/>
      <c r="D73" s="155">
        <f t="shared" si="6"/>
        <v>2.7743964820652607E-3</v>
      </c>
      <c r="E73" s="3"/>
      <c r="H73" s="382">
        <f>CHOOSE($N$1,'Исходные данные'!$D$78,'Исходные данные'!$F$78,'Исходные данные'!$H$78)</f>
        <v>5000</v>
      </c>
      <c r="I73" s="383"/>
      <c r="J73" s="7" t="s">
        <v>105</v>
      </c>
    </row>
    <row r="74" spans="1:27" ht="42" customHeight="1">
      <c r="A74" s="126"/>
      <c r="B74" s="323" t="s">
        <v>51</v>
      </c>
      <c r="C74" s="324"/>
      <c r="D74" s="155">
        <f t="shared" si="6"/>
        <v>3.6067154266848389E-3</v>
      </c>
      <c r="E74" s="3"/>
      <c r="H74" s="382">
        <f>CHOOSE($N$1,'Исходные данные'!$D$79,'Исходные данные'!$F$79,'Исходные данные'!$H$79)</f>
        <v>6500</v>
      </c>
      <c r="I74" s="383"/>
      <c r="J74" s="7" t="s">
        <v>105</v>
      </c>
    </row>
    <row r="75" spans="1:27" ht="42" customHeight="1">
      <c r="A75" s="126"/>
      <c r="B75" s="323" t="s">
        <v>52</v>
      </c>
      <c r="C75" s="324"/>
      <c r="D75" s="155">
        <f t="shared" si="6"/>
        <v>1.1097585928261044E-3</v>
      </c>
      <c r="E75" s="3"/>
      <c r="H75" s="382">
        <f>CHOOSE($N$1,'Исходные данные'!$D$80,'Исходные данные'!$F$80,'Исходные данные'!$H$80)</f>
        <v>2000</v>
      </c>
      <c r="I75" s="383"/>
      <c r="J75" s="7" t="s">
        <v>105</v>
      </c>
    </row>
    <row r="76" spans="1:27" ht="42" customHeight="1">
      <c r="A76" s="126"/>
      <c r="B76" s="323" t="s">
        <v>141</v>
      </c>
      <c r="C76" s="324"/>
      <c r="D76" s="155">
        <f t="shared" si="6"/>
        <v>1.3871982410326304E-2</v>
      </c>
      <c r="E76" s="3"/>
      <c r="H76" s="382">
        <f>CHOOSE($N$1,'Исходные данные'!$D$81,'Исходные данные'!$F$81,'Исходные данные'!$H$81)</f>
        <v>25000</v>
      </c>
      <c r="I76" s="383"/>
      <c r="J76" s="7" t="s">
        <v>105</v>
      </c>
    </row>
    <row r="77" spans="1:27" ht="42" customHeight="1">
      <c r="A77" s="126"/>
      <c r="B77" s="323" t="s">
        <v>53</v>
      </c>
      <c r="C77" s="324"/>
      <c r="D77" s="155">
        <f t="shared" si="6"/>
        <v>1.9420775374456825E-3</v>
      </c>
      <c r="E77" s="3"/>
      <c r="H77" s="382">
        <f>CHOOSE($N$1,'Исходные данные'!$D$82,'Исходные данные'!$F$82,'Исходные данные'!$H$82)</f>
        <v>3500</v>
      </c>
      <c r="I77" s="383"/>
      <c r="J77" s="7" t="s">
        <v>105</v>
      </c>
    </row>
    <row r="78" spans="1:27" ht="42" customHeight="1">
      <c r="A78" s="126"/>
      <c r="B78" s="323" t="s">
        <v>165</v>
      </c>
      <c r="C78" s="324"/>
      <c r="D78" s="155">
        <f t="shared" si="6"/>
        <v>2.7743964820652609E-4</v>
      </c>
      <c r="E78" s="3"/>
      <c r="H78" s="384">
        <f>CHOOSE($N$1,'Исходные данные'!$D$83/12,'Исходные данные'!$F$83/12,'Исходные данные'!$H$83/12)</f>
        <v>500</v>
      </c>
      <c r="I78" s="384"/>
      <c r="J78" s="7" t="s">
        <v>105</v>
      </c>
    </row>
    <row r="79" spans="1:27" ht="42" customHeight="1">
      <c r="A79" s="126"/>
      <c r="B79" s="323" t="s">
        <v>142</v>
      </c>
      <c r="C79" s="324"/>
      <c r="D79" s="155">
        <f t="shared" si="6"/>
        <v>5.5487929641305214E-3</v>
      </c>
      <c r="E79" s="3"/>
      <c r="H79" s="384">
        <f>CHOOSE($N$1,'Исходные данные'!$D$84,'Исходные данные'!$F$84,'Исходные данные'!$H$84)</f>
        <v>10000</v>
      </c>
      <c r="I79" s="384"/>
      <c r="J79" s="7" t="s">
        <v>105</v>
      </c>
    </row>
    <row r="80" spans="1:27" ht="42" customHeight="1">
      <c r="A80" s="126"/>
      <c r="B80" s="323" t="s">
        <v>181</v>
      </c>
      <c r="C80" s="324"/>
      <c r="D80" s="155">
        <f t="shared" si="6"/>
        <v>4.9476737263497151E-4</v>
      </c>
      <c r="E80" s="3"/>
      <c r="H80" s="384">
        <f>CHOOSE($N$1,'Исходные данные'!$D$85/12,'Исходные данные'!$F$85/12,'Исходные данные'!$H$85/12)</f>
        <v>891.66666666666663</v>
      </c>
      <c r="I80" s="384"/>
      <c r="J80" s="7" t="s">
        <v>105</v>
      </c>
    </row>
    <row r="81" spans="1:26" ht="42" customHeight="1">
      <c r="A81" s="126"/>
      <c r="B81" s="323" t="s">
        <v>182</v>
      </c>
      <c r="C81" s="324"/>
      <c r="D81" s="155">
        <f t="shared" si="6"/>
        <v>2.9593562475362784E-4</v>
      </c>
      <c r="E81" s="3"/>
      <c r="H81" s="384">
        <f>CHOOSE($N$1,'Исходные данные'!$D$86/6,'Исходные данные'!$F$86/6,'Исходные данные'!$H$86/6)</f>
        <v>533.33333333333337</v>
      </c>
      <c r="I81" s="384"/>
      <c r="J81" s="7" t="s">
        <v>105</v>
      </c>
    </row>
    <row r="82" spans="1:26" ht="42" customHeight="1">
      <c r="A82" s="6"/>
      <c r="B82" s="323" t="s">
        <v>54</v>
      </c>
      <c r="C82" s="324"/>
      <c r="D82" s="155">
        <f t="shared" si="6"/>
        <v>1.6646378892391563E-2</v>
      </c>
      <c r="E82" s="3"/>
      <c r="H82" s="384">
        <f>CHOOSE($N$1,'Исходные данные'!$D$87,'Исходные данные'!$F$87,'Исходные данные'!$H$87)</f>
        <v>30000</v>
      </c>
      <c r="I82" s="384"/>
      <c r="J82" s="7" t="s">
        <v>105</v>
      </c>
    </row>
    <row r="83" spans="1:26" ht="42" customHeight="1">
      <c r="A83" s="6"/>
      <c r="B83" s="323" t="s">
        <v>96</v>
      </c>
      <c r="C83" s="324"/>
      <c r="D83" s="156">
        <f t="shared" si="6"/>
        <v>3.8841550748913649E-2</v>
      </c>
      <c r="E83" s="3"/>
      <c r="H83" s="384">
        <f>CHOOSE($N$1,'Исходные данные'!$D$88,'Исходные данные'!$F$88,'Исходные данные'!$H$88)</f>
        <v>70000</v>
      </c>
      <c r="I83" s="384"/>
      <c r="J83" s="7" t="s">
        <v>105</v>
      </c>
    </row>
    <row r="84" spans="1:26" ht="42" customHeight="1">
      <c r="A84" s="6"/>
      <c r="B84" s="323" t="s">
        <v>11</v>
      </c>
      <c r="C84" s="324"/>
      <c r="D84" s="155">
        <f t="shared" si="6"/>
        <v>1.6646378892391563E-2</v>
      </c>
      <c r="E84" s="3"/>
      <c r="H84" s="384">
        <f>CHOOSE($N$1,'Исходные данные'!$D$89,'Исходные данные'!$F$89,'Исходные данные'!$H$89)</f>
        <v>30000</v>
      </c>
      <c r="I84" s="384"/>
      <c r="J84" s="7" t="s">
        <v>105</v>
      </c>
    </row>
    <row r="85" spans="1:26" ht="42" customHeight="1">
      <c r="A85" s="6"/>
      <c r="C85" s="4" t="s">
        <v>12</v>
      </c>
      <c r="D85" s="157">
        <f>SUM(D67:D84)+D54</f>
        <v>0.77327292322320307</v>
      </c>
      <c r="E85" s="3"/>
      <c r="H85" s="389">
        <f>SUM(H67:I84)+H54</f>
        <v>1393587.629277087</v>
      </c>
      <c r="I85" s="389"/>
      <c r="J85" s="7" t="s">
        <v>105</v>
      </c>
    </row>
    <row r="86" spans="1:26" ht="21">
      <c r="A86" s="368"/>
      <c r="B86" s="368"/>
      <c r="C86" s="368"/>
      <c r="D86" s="368"/>
      <c r="E86" s="368"/>
      <c r="F86" s="368"/>
      <c r="G86" s="368"/>
      <c r="H86" s="368"/>
      <c r="I86" s="368"/>
      <c r="J86" s="368"/>
      <c r="K86" s="130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</row>
    <row r="87" spans="1:26">
      <c r="A87" s="6"/>
      <c r="B87" s="6"/>
      <c r="C87" s="6"/>
      <c r="D87" s="6"/>
      <c r="E87" s="6"/>
      <c r="F87" s="6"/>
      <c r="G87" s="11"/>
      <c r="H87" s="11"/>
      <c r="I87" s="11"/>
      <c r="J87" s="6"/>
    </row>
    <row r="88" spans="1:26" ht="63" customHeight="1">
      <c r="A88" s="1" t="s">
        <v>185</v>
      </c>
      <c r="D88" s="387">
        <f>I18+I27-H85</f>
        <v>408606.12072291295</v>
      </c>
      <c r="E88" s="387"/>
      <c r="F88" s="387"/>
      <c r="G88" s="387"/>
      <c r="H88" s="387"/>
      <c r="I88" s="387"/>
      <c r="J88" s="7" t="s">
        <v>105</v>
      </c>
    </row>
    <row r="89" spans="1:26">
      <c r="A89" s="6"/>
      <c r="B89" s="6"/>
      <c r="C89" s="6"/>
      <c r="D89" s="6"/>
      <c r="E89" s="6"/>
      <c r="F89" s="6"/>
      <c r="H89" s="11"/>
      <c r="I89" s="11"/>
      <c r="J89" s="11"/>
    </row>
    <row r="90" spans="1:26" ht="81.75" customHeight="1">
      <c r="A90" s="1" t="s">
        <v>13</v>
      </c>
      <c r="D90" s="388">
        <f>'Детальный расчет'!B130</f>
        <v>11</v>
      </c>
      <c r="E90" s="388"/>
      <c r="F90" s="388"/>
      <c r="G90" s="388"/>
      <c r="H90" s="388"/>
      <c r="I90" s="388"/>
      <c r="J90" s="7" t="s">
        <v>14</v>
      </c>
    </row>
    <row r="91" spans="1:26">
      <c r="A91" s="9"/>
      <c r="B91" s="9"/>
      <c r="C91" s="9"/>
      <c r="D91" s="9"/>
      <c r="E91" s="9"/>
      <c r="F91" s="9"/>
      <c r="G91" s="10"/>
      <c r="H91" s="10"/>
      <c r="I91" s="10"/>
      <c r="J91" s="9"/>
    </row>
  </sheetData>
  <sheetProtection formatCells="0" formatColumns="0" formatRows="0" insertColumns="0" insertRows="0" insertHyperlinks="0" deleteColumns="0" deleteRows="0" sort="0" autoFilter="0" pivotTables="0"/>
  <mergeCells count="166">
    <mergeCell ref="I10:J10"/>
    <mergeCell ref="I26:J26"/>
    <mergeCell ref="B27:C27"/>
    <mergeCell ref="E27:F27"/>
    <mergeCell ref="G27:H27"/>
    <mergeCell ref="I27:J27"/>
    <mergeCell ref="B24:C24"/>
    <mergeCell ref="E24:F24"/>
    <mergeCell ref="G24:H24"/>
    <mergeCell ref="I24:J24"/>
    <mergeCell ref="B25:C25"/>
    <mergeCell ref="E25:F25"/>
    <mergeCell ref="G25:H25"/>
    <mergeCell ref="I25:J25"/>
    <mergeCell ref="I21:J21"/>
    <mergeCell ref="E18:F18"/>
    <mergeCell ref="I18:J18"/>
    <mergeCell ref="G18:H18"/>
    <mergeCell ref="G22:H22"/>
    <mergeCell ref="I22:J22"/>
    <mergeCell ref="G11:H11"/>
    <mergeCell ref="G12:H12"/>
    <mergeCell ref="G13:H13"/>
    <mergeCell ref="G14:H14"/>
    <mergeCell ref="B80:C80"/>
    <mergeCell ref="H80:I80"/>
    <mergeCell ref="B81:C81"/>
    <mergeCell ref="H81:I81"/>
    <mergeCell ref="A21:C21"/>
    <mergeCell ref="G21:H21"/>
    <mergeCell ref="B22:C22"/>
    <mergeCell ref="E22:F22"/>
    <mergeCell ref="B23:C23"/>
    <mergeCell ref="E23:F23"/>
    <mergeCell ref="G23:H23"/>
    <mergeCell ref="I23:J23"/>
    <mergeCell ref="B54:C54"/>
    <mergeCell ref="H54:I54"/>
    <mergeCell ref="H53:I53"/>
    <mergeCell ref="D45:I45"/>
    <mergeCell ref="D47:I47"/>
    <mergeCell ref="D49:I49"/>
    <mergeCell ref="D51:I51"/>
    <mergeCell ref="B35:C35"/>
    <mergeCell ref="D35:I35"/>
    <mergeCell ref="B26:C26"/>
    <mergeCell ref="E26:F26"/>
    <mergeCell ref="G26:H26"/>
    <mergeCell ref="D88:I88"/>
    <mergeCell ref="D90:I90"/>
    <mergeCell ref="A8:C8"/>
    <mergeCell ref="B9:C9"/>
    <mergeCell ref="B11:C11"/>
    <mergeCell ref="B12:C12"/>
    <mergeCell ref="B13:C13"/>
    <mergeCell ref="B14:C14"/>
    <mergeCell ref="B84:C84"/>
    <mergeCell ref="B82:C82"/>
    <mergeCell ref="B83:C83"/>
    <mergeCell ref="B76:C76"/>
    <mergeCell ref="H76:I76"/>
    <mergeCell ref="B77:C77"/>
    <mergeCell ref="H77:I77"/>
    <mergeCell ref="B78:C78"/>
    <mergeCell ref="H78:I78"/>
    <mergeCell ref="B39:C39"/>
    <mergeCell ref="D39:I39"/>
    <mergeCell ref="H65:I65"/>
    <mergeCell ref="H82:I82"/>
    <mergeCell ref="H83:I83"/>
    <mergeCell ref="H84:I84"/>
    <mergeCell ref="H85:I85"/>
    <mergeCell ref="B75:C75"/>
    <mergeCell ref="H75:I75"/>
    <mergeCell ref="B79:C79"/>
    <mergeCell ref="H79:I79"/>
    <mergeCell ref="B62:C62"/>
    <mergeCell ref="H62:I62"/>
    <mergeCell ref="B58:C58"/>
    <mergeCell ref="H58:I58"/>
    <mergeCell ref="H60:I60"/>
    <mergeCell ref="B65:C65"/>
    <mergeCell ref="B69:C69"/>
    <mergeCell ref="B70:C70"/>
    <mergeCell ref="B72:C72"/>
    <mergeCell ref="H72:I72"/>
    <mergeCell ref="H74:I74"/>
    <mergeCell ref="B74:C74"/>
    <mergeCell ref="B71:C71"/>
    <mergeCell ref="B68:C68"/>
    <mergeCell ref="H71:I71"/>
    <mergeCell ref="H73:I73"/>
    <mergeCell ref="B73:C73"/>
    <mergeCell ref="H70:I70"/>
    <mergeCell ref="G8:H8"/>
    <mergeCell ref="B47:C47"/>
    <mergeCell ref="B60:C60"/>
    <mergeCell ref="B56:C56"/>
    <mergeCell ref="H56:I56"/>
    <mergeCell ref="B63:C63"/>
    <mergeCell ref="A52:J52"/>
    <mergeCell ref="E30:F30"/>
    <mergeCell ref="B31:C31"/>
    <mergeCell ref="B37:C37"/>
    <mergeCell ref="B41:C41"/>
    <mergeCell ref="D37:I37"/>
    <mergeCell ref="D41:I41"/>
    <mergeCell ref="D50:H50"/>
    <mergeCell ref="B49:C49"/>
    <mergeCell ref="B33:C33"/>
    <mergeCell ref="D44:H44"/>
    <mergeCell ref="B43:C43"/>
    <mergeCell ref="B45:C45"/>
    <mergeCell ref="D43:I43"/>
    <mergeCell ref="E31:F31"/>
    <mergeCell ref="H31:I31"/>
    <mergeCell ref="H55:I55"/>
    <mergeCell ref="D33:I33"/>
    <mergeCell ref="D48:H48"/>
    <mergeCell ref="A1:K1"/>
    <mergeCell ref="A4:B4"/>
    <mergeCell ref="C4:D4"/>
    <mergeCell ref="C5:D5"/>
    <mergeCell ref="E9:F9"/>
    <mergeCell ref="E12:F12"/>
    <mergeCell ref="E13:F13"/>
    <mergeCell ref="E14:F14"/>
    <mergeCell ref="E15:F15"/>
    <mergeCell ref="G9:H9"/>
    <mergeCell ref="H4:J4"/>
    <mergeCell ref="H5:J5"/>
    <mergeCell ref="E4:G4"/>
    <mergeCell ref="E5:G5"/>
    <mergeCell ref="B15:C15"/>
    <mergeCell ref="I9:J9"/>
    <mergeCell ref="I8:J8"/>
    <mergeCell ref="I11:J11"/>
    <mergeCell ref="A5:B5"/>
    <mergeCell ref="I12:J12"/>
    <mergeCell ref="I13:J13"/>
    <mergeCell ref="I14:J14"/>
    <mergeCell ref="I15:J15"/>
    <mergeCell ref="G15:H15"/>
    <mergeCell ref="E8:F8"/>
    <mergeCell ref="E11:F11"/>
    <mergeCell ref="B16:C16"/>
    <mergeCell ref="B17:C17"/>
    <mergeCell ref="E10:F10"/>
    <mergeCell ref="G10:H10"/>
    <mergeCell ref="A86:J86"/>
    <mergeCell ref="E21:F21"/>
    <mergeCell ref="E16:F16"/>
    <mergeCell ref="E17:F17"/>
    <mergeCell ref="I16:J16"/>
    <mergeCell ref="I17:J17"/>
    <mergeCell ref="G16:H16"/>
    <mergeCell ref="G17:H17"/>
    <mergeCell ref="B18:C18"/>
    <mergeCell ref="H63:I63"/>
    <mergeCell ref="B64:C64"/>
    <mergeCell ref="H68:I68"/>
    <mergeCell ref="H67:I67"/>
    <mergeCell ref="H64:I64"/>
    <mergeCell ref="B67:C67"/>
    <mergeCell ref="B51:C51"/>
    <mergeCell ref="D46:H46"/>
  </mergeCells>
  <printOptions horizontalCentered="1"/>
  <pageMargins left="0.25" right="0.25" top="0.75" bottom="0.75" header="0.3" footer="0.3"/>
  <pageSetup paperSize="9" scale="48" orientation="portrait" r:id="rId1"/>
  <rowBreaks count="1" manualBreakCount="1">
    <brk id="52" max="9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U164"/>
  <sheetViews>
    <sheetView zoomScaleSheetLayoutView="100" workbookViewId="0">
      <pane xSplit="2" ySplit="13" topLeftCell="C47" activePane="bottomRight" state="frozen"/>
      <selection pane="topRight" activeCell="C1" sqref="C1"/>
      <selection pane="bottomLeft" activeCell="A17" sqref="A17"/>
      <selection pane="bottomRight" activeCell="A132" sqref="A132:XFD144"/>
    </sheetView>
  </sheetViews>
  <sheetFormatPr defaultRowHeight="12.75" outlineLevelCol="1"/>
  <cols>
    <col min="1" max="1" width="50" style="17" customWidth="1"/>
    <col min="2" max="2" width="10" style="17" bestFit="1" customWidth="1"/>
    <col min="3" max="3" width="10" style="17" customWidth="1"/>
    <col min="4" max="15" width="9.7109375" style="16" customWidth="1" outlineLevel="1"/>
    <col min="16" max="16" width="11" style="177" customWidth="1"/>
    <col min="17" max="17" width="13.140625" style="177" customWidth="1"/>
    <col min="18" max="29" width="9.7109375" style="16" customWidth="1" outlineLevel="1"/>
    <col min="30" max="30" width="11" style="177" customWidth="1"/>
    <col min="31" max="31" width="14.28515625" style="177" customWidth="1"/>
    <col min="32" max="43" width="9.7109375" style="16" customWidth="1" outlineLevel="1"/>
    <col min="44" max="44" width="11" style="177" customWidth="1"/>
    <col min="45" max="45" width="14.28515625" style="177" customWidth="1"/>
    <col min="46" max="46" width="12.85546875" style="16" customWidth="1"/>
    <col min="47" max="47" width="10" style="16" bestFit="1" customWidth="1"/>
    <col min="48" max="286" width="9.140625" style="16"/>
    <col min="287" max="287" width="53" style="16" customWidth="1"/>
    <col min="288" max="288" width="14.42578125" style="16" customWidth="1"/>
    <col min="289" max="301" width="11" style="16" customWidth="1"/>
    <col min="302" max="302" width="12.85546875" style="16" customWidth="1"/>
    <col min="303" max="303" width="10" style="16" bestFit="1" customWidth="1"/>
    <col min="304" max="542" width="9.140625" style="16"/>
    <col min="543" max="543" width="53" style="16" customWidth="1"/>
    <col min="544" max="544" width="14.42578125" style="16" customWidth="1"/>
    <col min="545" max="557" width="11" style="16" customWidth="1"/>
    <col min="558" max="558" width="12.85546875" style="16" customWidth="1"/>
    <col min="559" max="559" width="10" style="16" bestFit="1" customWidth="1"/>
    <col min="560" max="798" width="9.140625" style="16"/>
    <col min="799" max="799" width="53" style="16" customWidth="1"/>
    <col min="800" max="800" width="14.42578125" style="16" customWidth="1"/>
    <col min="801" max="813" width="11" style="16" customWidth="1"/>
    <col min="814" max="814" width="12.85546875" style="16" customWidth="1"/>
    <col min="815" max="815" width="10" style="16" bestFit="1" customWidth="1"/>
    <col min="816" max="1054" width="9.140625" style="16"/>
    <col min="1055" max="1055" width="53" style="16" customWidth="1"/>
    <col min="1056" max="1056" width="14.42578125" style="16" customWidth="1"/>
    <col min="1057" max="1069" width="11" style="16" customWidth="1"/>
    <col min="1070" max="1070" width="12.85546875" style="16" customWidth="1"/>
    <col min="1071" max="1071" width="10" style="16" bestFit="1" customWidth="1"/>
    <col min="1072" max="1310" width="9.140625" style="16"/>
    <col min="1311" max="1311" width="53" style="16" customWidth="1"/>
    <col min="1312" max="1312" width="14.42578125" style="16" customWidth="1"/>
    <col min="1313" max="1325" width="11" style="16" customWidth="1"/>
    <col min="1326" max="1326" width="12.85546875" style="16" customWidth="1"/>
    <col min="1327" max="1327" width="10" style="16" bestFit="1" customWidth="1"/>
    <col min="1328" max="1566" width="9.140625" style="16"/>
    <col min="1567" max="1567" width="53" style="16" customWidth="1"/>
    <col min="1568" max="1568" width="14.42578125" style="16" customWidth="1"/>
    <col min="1569" max="1581" width="11" style="16" customWidth="1"/>
    <col min="1582" max="1582" width="12.85546875" style="16" customWidth="1"/>
    <col min="1583" max="1583" width="10" style="16" bestFit="1" customWidth="1"/>
    <col min="1584" max="1822" width="9.140625" style="16"/>
    <col min="1823" max="1823" width="53" style="16" customWidth="1"/>
    <col min="1824" max="1824" width="14.42578125" style="16" customWidth="1"/>
    <col min="1825" max="1837" width="11" style="16" customWidth="1"/>
    <col min="1838" max="1838" width="12.85546875" style="16" customWidth="1"/>
    <col min="1839" max="1839" width="10" style="16" bestFit="1" customWidth="1"/>
    <col min="1840" max="2078" width="9.140625" style="16"/>
    <col min="2079" max="2079" width="53" style="16" customWidth="1"/>
    <col min="2080" max="2080" width="14.42578125" style="16" customWidth="1"/>
    <col min="2081" max="2093" width="11" style="16" customWidth="1"/>
    <col min="2094" max="2094" width="12.85546875" style="16" customWidth="1"/>
    <col min="2095" max="2095" width="10" style="16" bestFit="1" customWidth="1"/>
    <col min="2096" max="2334" width="9.140625" style="16"/>
    <col min="2335" max="2335" width="53" style="16" customWidth="1"/>
    <col min="2336" max="2336" width="14.42578125" style="16" customWidth="1"/>
    <col min="2337" max="2349" width="11" style="16" customWidth="1"/>
    <col min="2350" max="2350" width="12.85546875" style="16" customWidth="1"/>
    <col min="2351" max="2351" width="10" style="16" bestFit="1" customWidth="1"/>
    <col min="2352" max="2590" width="9.140625" style="16"/>
    <col min="2591" max="2591" width="53" style="16" customWidth="1"/>
    <col min="2592" max="2592" width="14.42578125" style="16" customWidth="1"/>
    <col min="2593" max="2605" width="11" style="16" customWidth="1"/>
    <col min="2606" max="2606" width="12.85546875" style="16" customWidth="1"/>
    <col min="2607" max="2607" width="10" style="16" bestFit="1" customWidth="1"/>
    <col min="2608" max="2846" width="9.140625" style="16"/>
    <col min="2847" max="2847" width="53" style="16" customWidth="1"/>
    <col min="2848" max="2848" width="14.42578125" style="16" customWidth="1"/>
    <col min="2849" max="2861" width="11" style="16" customWidth="1"/>
    <col min="2862" max="2862" width="12.85546875" style="16" customWidth="1"/>
    <col min="2863" max="2863" width="10" style="16" bestFit="1" customWidth="1"/>
    <col min="2864" max="3102" width="9.140625" style="16"/>
    <col min="3103" max="3103" width="53" style="16" customWidth="1"/>
    <col min="3104" max="3104" width="14.42578125" style="16" customWidth="1"/>
    <col min="3105" max="3117" width="11" style="16" customWidth="1"/>
    <col min="3118" max="3118" width="12.85546875" style="16" customWidth="1"/>
    <col min="3119" max="3119" width="10" style="16" bestFit="1" customWidth="1"/>
    <col min="3120" max="3358" width="9.140625" style="16"/>
    <col min="3359" max="3359" width="53" style="16" customWidth="1"/>
    <col min="3360" max="3360" width="14.42578125" style="16" customWidth="1"/>
    <col min="3361" max="3373" width="11" style="16" customWidth="1"/>
    <col min="3374" max="3374" width="12.85546875" style="16" customWidth="1"/>
    <col min="3375" max="3375" width="10" style="16" bestFit="1" customWidth="1"/>
    <col min="3376" max="3614" width="9.140625" style="16"/>
    <col min="3615" max="3615" width="53" style="16" customWidth="1"/>
    <col min="3616" max="3616" width="14.42578125" style="16" customWidth="1"/>
    <col min="3617" max="3629" width="11" style="16" customWidth="1"/>
    <col min="3630" max="3630" width="12.85546875" style="16" customWidth="1"/>
    <col min="3631" max="3631" width="10" style="16" bestFit="1" customWidth="1"/>
    <col min="3632" max="3870" width="9.140625" style="16"/>
    <col min="3871" max="3871" width="53" style="16" customWidth="1"/>
    <col min="3872" max="3872" width="14.42578125" style="16" customWidth="1"/>
    <col min="3873" max="3885" width="11" style="16" customWidth="1"/>
    <col min="3886" max="3886" width="12.85546875" style="16" customWidth="1"/>
    <col min="3887" max="3887" width="10" style="16" bestFit="1" customWidth="1"/>
    <col min="3888" max="4126" width="9.140625" style="16"/>
    <col min="4127" max="4127" width="53" style="16" customWidth="1"/>
    <col min="4128" max="4128" width="14.42578125" style="16" customWidth="1"/>
    <col min="4129" max="4141" width="11" style="16" customWidth="1"/>
    <col min="4142" max="4142" width="12.85546875" style="16" customWidth="1"/>
    <col min="4143" max="4143" width="10" style="16" bestFit="1" customWidth="1"/>
    <col min="4144" max="4382" width="9.140625" style="16"/>
    <col min="4383" max="4383" width="53" style="16" customWidth="1"/>
    <col min="4384" max="4384" width="14.42578125" style="16" customWidth="1"/>
    <col min="4385" max="4397" width="11" style="16" customWidth="1"/>
    <col min="4398" max="4398" width="12.85546875" style="16" customWidth="1"/>
    <col min="4399" max="4399" width="10" style="16" bestFit="1" customWidth="1"/>
    <col min="4400" max="4638" width="9.140625" style="16"/>
    <col min="4639" max="4639" width="53" style="16" customWidth="1"/>
    <col min="4640" max="4640" width="14.42578125" style="16" customWidth="1"/>
    <col min="4641" max="4653" width="11" style="16" customWidth="1"/>
    <col min="4654" max="4654" width="12.85546875" style="16" customWidth="1"/>
    <col min="4655" max="4655" width="10" style="16" bestFit="1" customWidth="1"/>
    <col min="4656" max="4894" width="9.140625" style="16"/>
    <col min="4895" max="4895" width="53" style="16" customWidth="1"/>
    <col min="4896" max="4896" width="14.42578125" style="16" customWidth="1"/>
    <col min="4897" max="4909" width="11" style="16" customWidth="1"/>
    <col min="4910" max="4910" width="12.85546875" style="16" customWidth="1"/>
    <col min="4911" max="4911" width="10" style="16" bestFit="1" customWidth="1"/>
    <col min="4912" max="5150" width="9.140625" style="16"/>
    <col min="5151" max="5151" width="53" style="16" customWidth="1"/>
    <col min="5152" max="5152" width="14.42578125" style="16" customWidth="1"/>
    <col min="5153" max="5165" width="11" style="16" customWidth="1"/>
    <col min="5166" max="5166" width="12.85546875" style="16" customWidth="1"/>
    <col min="5167" max="5167" width="10" style="16" bestFit="1" customWidth="1"/>
    <col min="5168" max="5406" width="9.140625" style="16"/>
    <col min="5407" max="5407" width="53" style="16" customWidth="1"/>
    <col min="5408" max="5408" width="14.42578125" style="16" customWidth="1"/>
    <col min="5409" max="5421" width="11" style="16" customWidth="1"/>
    <col min="5422" max="5422" width="12.85546875" style="16" customWidth="1"/>
    <col min="5423" max="5423" width="10" style="16" bestFit="1" customWidth="1"/>
    <col min="5424" max="5662" width="9.140625" style="16"/>
    <col min="5663" max="5663" width="53" style="16" customWidth="1"/>
    <col min="5664" max="5664" width="14.42578125" style="16" customWidth="1"/>
    <col min="5665" max="5677" width="11" style="16" customWidth="1"/>
    <col min="5678" max="5678" width="12.85546875" style="16" customWidth="1"/>
    <col min="5679" max="5679" width="10" style="16" bestFit="1" customWidth="1"/>
    <col min="5680" max="5918" width="9.140625" style="16"/>
    <col min="5919" max="5919" width="53" style="16" customWidth="1"/>
    <col min="5920" max="5920" width="14.42578125" style="16" customWidth="1"/>
    <col min="5921" max="5933" width="11" style="16" customWidth="1"/>
    <col min="5934" max="5934" width="12.85546875" style="16" customWidth="1"/>
    <col min="5935" max="5935" width="10" style="16" bestFit="1" customWidth="1"/>
    <col min="5936" max="6174" width="9.140625" style="16"/>
    <col min="6175" max="6175" width="53" style="16" customWidth="1"/>
    <col min="6176" max="6176" width="14.42578125" style="16" customWidth="1"/>
    <col min="6177" max="6189" width="11" style="16" customWidth="1"/>
    <col min="6190" max="6190" width="12.85546875" style="16" customWidth="1"/>
    <col min="6191" max="6191" width="10" style="16" bestFit="1" customWidth="1"/>
    <col min="6192" max="6430" width="9.140625" style="16"/>
    <col min="6431" max="6431" width="53" style="16" customWidth="1"/>
    <col min="6432" max="6432" width="14.42578125" style="16" customWidth="1"/>
    <col min="6433" max="6445" width="11" style="16" customWidth="1"/>
    <col min="6446" max="6446" width="12.85546875" style="16" customWidth="1"/>
    <col min="6447" max="6447" width="10" style="16" bestFit="1" customWidth="1"/>
    <col min="6448" max="6686" width="9.140625" style="16"/>
    <col min="6687" max="6687" width="53" style="16" customWidth="1"/>
    <col min="6688" max="6688" width="14.42578125" style="16" customWidth="1"/>
    <col min="6689" max="6701" width="11" style="16" customWidth="1"/>
    <col min="6702" max="6702" width="12.85546875" style="16" customWidth="1"/>
    <col min="6703" max="6703" width="10" style="16" bestFit="1" customWidth="1"/>
    <col min="6704" max="6942" width="9.140625" style="16"/>
    <col min="6943" max="6943" width="53" style="16" customWidth="1"/>
    <col min="6944" max="6944" width="14.42578125" style="16" customWidth="1"/>
    <col min="6945" max="6957" width="11" style="16" customWidth="1"/>
    <col min="6958" max="6958" width="12.85546875" style="16" customWidth="1"/>
    <col min="6959" max="6959" width="10" style="16" bestFit="1" customWidth="1"/>
    <col min="6960" max="7198" width="9.140625" style="16"/>
    <col min="7199" max="7199" width="53" style="16" customWidth="1"/>
    <col min="7200" max="7200" width="14.42578125" style="16" customWidth="1"/>
    <col min="7201" max="7213" width="11" style="16" customWidth="1"/>
    <col min="7214" max="7214" width="12.85546875" style="16" customWidth="1"/>
    <col min="7215" max="7215" width="10" style="16" bestFit="1" customWidth="1"/>
    <col min="7216" max="7454" width="9.140625" style="16"/>
    <col min="7455" max="7455" width="53" style="16" customWidth="1"/>
    <col min="7456" max="7456" width="14.42578125" style="16" customWidth="1"/>
    <col min="7457" max="7469" width="11" style="16" customWidth="1"/>
    <col min="7470" max="7470" width="12.85546875" style="16" customWidth="1"/>
    <col min="7471" max="7471" width="10" style="16" bestFit="1" customWidth="1"/>
    <col min="7472" max="7710" width="9.140625" style="16"/>
    <col min="7711" max="7711" width="53" style="16" customWidth="1"/>
    <col min="7712" max="7712" width="14.42578125" style="16" customWidth="1"/>
    <col min="7713" max="7725" width="11" style="16" customWidth="1"/>
    <col min="7726" max="7726" width="12.85546875" style="16" customWidth="1"/>
    <col min="7727" max="7727" width="10" style="16" bestFit="1" customWidth="1"/>
    <col min="7728" max="7966" width="9.140625" style="16"/>
    <col min="7967" max="7967" width="53" style="16" customWidth="1"/>
    <col min="7968" max="7968" width="14.42578125" style="16" customWidth="1"/>
    <col min="7969" max="7981" width="11" style="16" customWidth="1"/>
    <col min="7982" max="7982" width="12.85546875" style="16" customWidth="1"/>
    <col min="7983" max="7983" width="10" style="16" bestFit="1" customWidth="1"/>
    <col min="7984" max="8222" width="9.140625" style="16"/>
    <col min="8223" max="8223" width="53" style="16" customWidth="1"/>
    <col min="8224" max="8224" width="14.42578125" style="16" customWidth="1"/>
    <col min="8225" max="8237" width="11" style="16" customWidth="1"/>
    <col min="8238" max="8238" width="12.85546875" style="16" customWidth="1"/>
    <col min="8239" max="8239" width="10" style="16" bestFit="1" customWidth="1"/>
    <col min="8240" max="8478" width="9.140625" style="16"/>
    <col min="8479" max="8479" width="53" style="16" customWidth="1"/>
    <col min="8480" max="8480" width="14.42578125" style="16" customWidth="1"/>
    <col min="8481" max="8493" width="11" style="16" customWidth="1"/>
    <col min="8494" max="8494" width="12.85546875" style="16" customWidth="1"/>
    <col min="8495" max="8495" width="10" style="16" bestFit="1" customWidth="1"/>
    <col min="8496" max="8734" width="9.140625" style="16"/>
    <col min="8735" max="8735" width="53" style="16" customWidth="1"/>
    <col min="8736" max="8736" width="14.42578125" style="16" customWidth="1"/>
    <col min="8737" max="8749" width="11" style="16" customWidth="1"/>
    <col min="8750" max="8750" width="12.85546875" style="16" customWidth="1"/>
    <col min="8751" max="8751" width="10" style="16" bestFit="1" customWidth="1"/>
    <col min="8752" max="8990" width="9.140625" style="16"/>
    <col min="8991" max="8991" width="53" style="16" customWidth="1"/>
    <col min="8992" max="8992" width="14.42578125" style="16" customWidth="1"/>
    <col min="8993" max="9005" width="11" style="16" customWidth="1"/>
    <col min="9006" max="9006" width="12.85546875" style="16" customWidth="1"/>
    <col min="9007" max="9007" width="10" style="16" bestFit="1" customWidth="1"/>
    <col min="9008" max="9246" width="9.140625" style="16"/>
    <col min="9247" max="9247" width="53" style="16" customWidth="1"/>
    <col min="9248" max="9248" width="14.42578125" style="16" customWidth="1"/>
    <col min="9249" max="9261" width="11" style="16" customWidth="1"/>
    <col min="9262" max="9262" width="12.85546875" style="16" customWidth="1"/>
    <col min="9263" max="9263" width="10" style="16" bestFit="1" customWidth="1"/>
    <col min="9264" max="9502" width="9.140625" style="16"/>
    <col min="9503" max="9503" width="53" style="16" customWidth="1"/>
    <col min="9504" max="9504" width="14.42578125" style="16" customWidth="1"/>
    <col min="9505" max="9517" width="11" style="16" customWidth="1"/>
    <col min="9518" max="9518" width="12.85546875" style="16" customWidth="1"/>
    <col min="9519" max="9519" width="10" style="16" bestFit="1" customWidth="1"/>
    <col min="9520" max="9758" width="9.140625" style="16"/>
    <col min="9759" max="9759" width="53" style="16" customWidth="1"/>
    <col min="9760" max="9760" width="14.42578125" style="16" customWidth="1"/>
    <col min="9761" max="9773" width="11" style="16" customWidth="1"/>
    <col min="9774" max="9774" width="12.85546875" style="16" customWidth="1"/>
    <col min="9775" max="9775" width="10" style="16" bestFit="1" customWidth="1"/>
    <col min="9776" max="10014" width="9.140625" style="16"/>
    <col min="10015" max="10015" width="53" style="16" customWidth="1"/>
    <col min="10016" max="10016" width="14.42578125" style="16" customWidth="1"/>
    <col min="10017" max="10029" width="11" style="16" customWidth="1"/>
    <col min="10030" max="10030" width="12.85546875" style="16" customWidth="1"/>
    <col min="10031" max="10031" width="10" style="16" bestFit="1" customWidth="1"/>
    <col min="10032" max="10270" width="9.140625" style="16"/>
    <col min="10271" max="10271" width="53" style="16" customWidth="1"/>
    <col min="10272" max="10272" width="14.42578125" style="16" customWidth="1"/>
    <col min="10273" max="10285" width="11" style="16" customWidth="1"/>
    <col min="10286" max="10286" width="12.85546875" style="16" customWidth="1"/>
    <col min="10287" max="10287" width="10" style="16" bestFit="1" customWidth="1"/>
    <col min="10288" max="10526" width="9.140625" style="16"/>
    <col min="10527" max="10527" width="53" style="16" customWidth="1"/>
    <col min="10528" max="10528" width="14.42578125" style="16" customWidth="1"/>
    <col min="10529" max="10541" width="11" style="16" customWidth="1"/>
    <col min="10542" max="10542" width="12.85546875" style="16" customWidth="1"/>
    <col min="10543" max="10543" width="10" style="16" bestFit="1" customWidth="1"/>
    <col min="10544" max="10782" width="9.140625" style="16"/>
    <col min="10783" max="10783" width="53" style="16" customWidth="1"/>
    <col min="10784" max="10784" width="14.42578125" style="16" customWidth="1"/>
    <col min="10785" max="10797" width="11" style="16" customWidth="1"/>
    <col min="10798" max="10798" width="12.85546875" style="16" customWidth="1"/>
    <col min="10799" max="10799" width="10" style="16" bestFit="1" customWidth="1"/>
    <col min="10800" max="11038" width="9.140625" style="16"/>
    <col min="11039" max="11039" width="53" style="16" customWidth="1"/>
    <col min="11040" max="11040" width="14.42578125" style="16" customWidth="1"/>
    <col min="11041" max="11053" width="11" style="16" customWidth="1"/>
    <col min="11054" max="11054" width="12.85546875" style="16" customWidth="1"/>
    <col min="11055" max="11055" width="10" style="16" bestFit="1" customWidth="1"/>
    <col min="11056" max="11294" width="9.140625" style="16"/>
    <col min="11295" max="11295" width="53" style="16" customWidth="1"/>
    <col min="11296" max="11296" width="14.42578125" style="16" customWidth="1"/>
    <col min="11297" max="11309" width="11" style="16" customWidth="1"/>
    <col min="11310" max="11310" width="12.85546875" style="16" customWidth="1"/>
    <col min="11311" max="11311" width="10" style="16" bestFit="1" customWidth="1"/>
    <col min="11312" max="11550" width="9.140625" style="16"/>
    <col min="11551" max="11551" width="53" style="16" customWidth="1"/>
    <col min="11552" max="11552" width="14.42578125" style="16" customWidth="1"/>
    <col min="11553" max="11565" width="11" style="16" customWidth="1"/>
    <col min="11566" max="11566" width="12.85546875" style="16" customWidth="1"/>
    <col min="11567" max="11567" width="10" style="16" bestFit="1" customWidth="1"/>
    <col min="11568" max="11806" width="9.140625" style="16"/>
    <col min="11807" max="11807" width="53" style="16" customWidth="1"/>
    <col min="11808" max="11808" width="14.42578125" style="16" customWidth="1"/>
    <col min="11809" max="11821" width="11" style="16" customWidth="1"/>
    <col min="11822" max="11822" width="12.85546875" style="16" customWidth="1"/>
    <col min="11823" max="11823" width="10" style="16" bestFit="1" customWidth="1"/>
    <col min="11824" max="12062" width="9.140625" style="16"/>
    <col min="12063" max="12063" width="53" style="16" customWidth="1"/>
    <col min="12064" max="12064" width="14.42578125" style="16" customWidth="1"/>
    <col min="12065" max="12077" width="11" style="16" customWidth="1"/>
    <col min="12078" max="12078" width="12.85546875" style="16" customWidth="1"/>
    <col min="12079" max="12079" width="10" style="16" bestFit="1" customWidth="1"/>
    <col min="12080" max="12318" width="9.140625" style="16"/>
    <col min="12319" max="12319" width="53" style="16" customWidth="1"/>
    <col min="12320" max="12320" width="14.42578125" style="16" customWidth="1"/>
    <col min="12321" max="12333" width="11" style="16" customWidth="1"/>
    <col min="12334" max="12334" width="12.85546875" style="16" customWidth="1"/>
    <col min="12335" max="12335" width="10" style="16" bestFit="1" customWidth="1"/>
    <col min="12336" max="12574" width="9.140625" style="16"/>
    <col min="12575" max="12575" width="53" style="16" customWidth="1"/>
    <col min="12576" max="12576" width="14.42578125" style="16" customWidth="1"/>
    <col min="12577" max="12589" width="11" style="16" customWidth="1"/>
    <col min="12590" max="12590" width="12.85546875" style="16" customWidth="1"/>
    <col min="12591" max="12591" width="10" style="16" bestFit="1" customWidth="1"/>
    <col min="12592" max="12830" width="9.140625" style="16"/>
    <col min="12831" max="12831" width="53" style="16" customWidth="1"/>
    <col min="12832" max="12832" width="14.42578125" style="16" customWidth="1"/>
    <col min="12833" max="12845" width="11" style="16" customWidth="1"/>
    <col min="12846" max="12846" width="12.85546875" style="16" customWidth="1"/>
    <col min="12847" max="12847" width="10" style="16" bestFit="1" customWidth="1"/>
    <col min="12848" max="13086" width="9.140625" style="16"/>
    <col min="13087" max="13087" width="53" style="16" customWidth="1"/>
    <col min="13088" max="13088" width="14.42578125" style="16" customWidth="1"/>
    <col min="13089" max="13101" width="11" style="16" customWidth="1"/>
    <col min="13102" max="13102" width="12.85546875" style="16" customWidth="1"/>
    <col min="13103" max="13103" width="10" style="16" bestFit="1" customWidth="1"/>
    <col min="13104" max="13342" width="9.140625" style="16"/>
    <col min="13343" max="13343" width="53" style="16" customWidth="1"/>
    <col min="13344" max="13344" width="14.42578125" style="16" customWidth="1"/>
    <col min="13345" max="13357" width="11" style="16" customWidth="1"/>
    <col min="13358" max="13358" width="12.85546875" style="16" customWidth="1"/>
    <col min="13359" max="13359" width="10" style="16" bestFit="1" customWidth="1"/>
    <col min="13360" max="13598" width="9.140625" style="16"/>
    <col min="13599" max="13599" width="53" style="16" customWidth="1"/>
    <col min="13600" max="13600" width="14.42578125" style="16" customWidth="1"/>
    <col min="13601" max="13613" width="11" style="16" customWidth="1"/>
    <col min="13614" max="13614" width="12.85546875" style="16" customWidth="1"/>
    <col min="13615" max="13615" width="10" style="16" bestFit="1" customWidth="1"/>
    <col min="13616" max="13854" width="9.140625" style="16"/>
    <col min="13855" max="13855" width="53" style="16" customWidth="1"/>
    <col min="13856" max="13856" width="14.42578125" style="16" customWidth="1"/>
    <col min="13857" max="13869" width="11" style="16" customWidth="1"/>
    <col min="13870" max="13870" width="12.85546875" style="16" customWidth="1"/>
    <col min="13871" max="13871" width="10" style="16" bestFit="1" customWidth="1"/>
    <col min="13872" max="14110" width="9.140625" style="16"/>
    <col min="14111" max="14111" width="53" style="16" customWidth="1"/>
    <col min="14112" max="14112" width="14.42578125" style="16" customWidth="1"/>
    <col min="14113" max="14125" width="11" style="16" customWidth="1"/>
    <col min="14126" max="14126" width="12.85546875" style="16" customWidth="1"/>
    <col min="14127" max="14127" width="10" style="16" bestFit="1" customWidth="1"/>
    <col min="14128" max="14366" width="9.140625" style="16"/>
    <col min="14367" max="14367" width="53" style="16" customWidth="1"/>
    <col min="14368" max="14368" width="14.42578125" style="16" customWidth="1"/>
    <col min="14369" max="14381" width="11" style="16" customWidth="1"/>
    <col min="14382" max="14382" width="12.85546875" style="16" customWidth="1"/>
    <col min="14383" max="14383" width="10" style="16" bestFit="1" customWidth="1"/>
    <col min="14384" max="14622" width="9.140625" style="16"/>
    <col min="14623" max="14623" width="53" style="16" customWidth="1"/>
    <col min="14624" max="14624" width="14.42578125" style="16" customWidth="1"/>
    <col min="14625" max="14637" width="11" style="16" customWidth="1"/>
    <col min="14638" max="14638" width="12.85546875" style="16" customWidth="1"/>
    <col min="14639" max="14639" width="10" style="16" bestFit="1" customWidth="1"/>
    <col min="14640" max="14878" width="9.140625" style="16"/>
    <col min="14879" max="14879" width="53" style="16" customWidth="1"/>
    <col min="14880" max="14880" width="14.42578125" style="16" customWidth="1"/>
    <col min="14881" max="14893" width="11" style="16" customWidth="1"/>
    <col min="14894" max="14894" width="12.85546875" style="16" customWidth="1"/>
    <col min="14895" max="14895" width="10" style="16" bestFit="1" customWidth="1"/>
    <col min="14896" max="15134" width="9.140625" style="16"/>
    <col min="15135" max="15135" width="53" style="16" customWidth="1"/>
    <col min="15136" max="15136" width="14.42578125" style="16" customWidth="1"/>
    <col min="15137" max="15149" width="11" style="16" customWidth="1"/>
    <col min="15150" max="15150" width="12.85546875" style="16" customWidth="1"/>
    <col min="15151" max="15151" width="10" style="16" bestFit="1" customWidth="1"/>
    <col min="15152" max="15390" width="9.140625" style="16"/>
    <col min="15391" max="15391" width="53" style="16" customWidth="1"/>
    <col min="15392" max="15392" width="14.42578125" style="16" customWidth="1"/>
    <col min="15393" max="15405" width="11" style="16" customWidth="1"/>
    <col min="15406" max="15406" width="12.85546875" style="16" customWidth="1"/>
    <col min="15407" max="15407" width="10" style="16" bestFit="1" customWidth="1"/>
    <col min="15408" max="15646" width="9.140625" style="16"/>
    <col min="15647" max="15647" width="53" style="16" customWidth="1"/>
    <col min="15648" max="15648" width="14.42578125" style="16" customWidth="1"/>
    <col min="15649" max="15661" width="11" style="16" customWidth="1"/>
    <col min="15662" max="15662" width="12.85546875" style="16" customWidth="1"/>
    <col min="15663" max="15663" width="10" style="16" bestFit="1" customWidth="1"/>
    <col min="15664" max="15902" width="9.140625" style="16"/>
    <col min="15903" max="15903" width="53" style="16" customWidth="1"/>
    <col min="15904" max="15904" width="14.42578125" style="16" customWidth="1"/>
    <col min="15905" max="15917" width="11" style="16" customWidth="1"/>
    <col min="15918" max="15918" width="12.85546875" style="16" customWidth="1"/>
    <col min="15919" max="15919" width="10" style="16" bestFit="1" customWidth="1"/>
    <col min="15920" max="16158" width="9.140625" style="16"/>
    <col min="16159" max="16159" width="53" style="16" customWidth="1"/>
    <col min="16160" max="16160" width="14.42578125" style="16" customWidth="1"/>
    <col min="16161" max="16173" width="11" style="16" customWidth="1"/>
    <col min="16174" max="16174" width="12.85546875" style="16" customWidth="1"/>
    <col min="16175" max="16175" width="10" style="16" bestFit="1" customWidth="1"/>
    <col min="16176" max="16384" width="9.140625" style="16"/>
  </cols>
  <sheetData>
    <row r="1" spans="1:47" customFormat="1" ht="15">
      <c r="A1" s="394" t="s">
        <v>16</v>
      </c>
      <c r="B1" s="394"/>
      <c r="C1" s="294"/>
      <c r="D1" s="121"/>
      <c r="E1" s="121"/>
      <c r="F1" s="121"/>
      <c r="G1" s="121"/>
      <c r="H1" s="121"/>
      <c r="I1" s="121"/>
      <c r="J1" s="121"/>
      <c r="K1" s="121"/>
      <c r="P1" s="175"/>
      <c r="Q1" s="175"/>
      <c r="AD1" s="175"/>
      <c r="AE1" s="175"/>
      <c r="AR1" s="175"/>
      <c r="AS1" s="175"/>
    </row>
    <row r="2" spans="1:47" ht="12.75" customHeight="1">
      <c r="A2" s="12"/>
      <c r="B2" s="13"/>
      <c r="C2" s="13"/>
      <c r="D2" s="216" t="str">
        <f>A130</f>
        <v>Срок окупаемости проекта, мес.:</v>
      </c>
      <c r="E2" s="217">
        <f>B130</f>
        <v>11</v>
      </c>
      <c r="F2" s="13"/>
      <c r="G2" s="13"/>
      <c r="H2" s="13"/>
      <c r="I2" s="13"/>
      <c r="J2" s="14"/>
      <c r="K2" s="15"/>
      <c r="L2" s="15"/>
      <c r="M2" s="15"/>
      <c r="N2" s="15"/>
      <c r="O2" s="15"/>
      <c r="P2" s="176"/>
      <c r="Q2" s="176"/>
      <c r="R2" s="13"/>
      <c r="S2" s="86"/>
      <c r="T2" s="13"/>
      <c r="U2" s="13"/>
      <c r="V2" s="13"/>
      <c r="W2" s="13"/>
      <c r="X2" s="14"/>
      <c r="Y2" s="15"/>
      <c r="Z2" s="15"/>
      <c r="AA2" s="15"/>
      <c r="AB2" s="15"/>
      <c r="AC2" s="15"/>
      <c r="AD2" s="176"/>
      <c r="AE2" s="176"/>
      <c r="AF2" s="13"/>
      <c r="AG2" s="86"/>
      <c r="AH2" s="13"/>
      <c r="AI2" s="13"/>
      <c r="AJ2" s="13"/>
      <c r="AK2" s="13"/>
      <c r="AL2" s="14"/>
      <c r="AM2" s="15"/>
      <c r="AN2" s="15"/>
      <c r="AO2" s="15"/>
      <c r="AP2" s="15"/>
      <c r="AQ2" s="15"/>
      <c r="AR2" s="176"/>
      <c r="AS2" s="176"/>
      <c r="AT2" s="15"/>
    </row>
    <row r="3" spans="1:47" hidden="1">
      <c r="D3" s="162">
        <f>'Обобщенный расчет'!$P$1</f>
        <v>9</v>
      </c>
      <c r="E3" s="162">
        <f>IF(D3=12,1,D3+1)</f>
        <v>10</v>
      </c>
      <c r="F3" s="162">
        <f t="shared" ref="F3:AC3" si="0">IF(E3=12,1,E3+1)</f>
        <v>11</v>
      </c>
      <c r="G3" s="162">
        <f t="shared" si="0"/>
        <v>12</v>
      </c>
      <c r="H3" s="162">
        <f t="shared" si="0"/>
        <v>1</v>
      </c>
      <c r="I3" s="162">
        <f t="shared" si="0"/>
        <v>2</v>
      </c>
      <c r="J3" s="162">
        <f t="shared" si="0"/>
        <v>3</v>
      </c>
      <c r="K3" s="162">
        <f t="shared" si="0"/>
        <v>4</v>
      </c>
      <c r="L3" s="162">
        <f t="shared" si="0"/>
        <v>5</v>
      </c>
      <c r="M3" s="162">
        <f t="shared" si="0"/>
        <v>6</v>
      </c>
      <c r="N3" s="162">
        <f t="shared" si="0"/>
        <v>7</v>
      </c>
      <c r="O3" s="162">
        <f t="shared" si="0"/>
        <v>8</v>
      </c>
      <c r="P3" s="179"/>
      <c r="Q3" s="179"/>
      <c r="R3" s="162">
        <f>IF(O3=12,1,O3+1)</f>
        <v>9</v>
      </c>
      <c r="S3" s="162">
        <f t="shared" si="0"/>
        <v>10</v>
      </c>
      <c r="T3" s="162">
        <f t="shared" si="0"/>
        <v>11</v>
      </c>
      <c r="U3" s="162">
        <f t="shared" si="0"/>
        <v>12</v>
      </c>
      <c r="V3" s="162">
        <f t="shared" si="0"/>
        <v>1</v>
      </c>
      <c r="W3" s="162">
        <f t="shared" si="0"/>
        <v>2</v>
      </c>
      <c r="X3" s="162">
        <f t="shared" si="0"/>
        <v>3</v>
      </c>
      <c r="Y3" s="162">
        <f t="shared" si="0"/>
        <v>4</v>
      </c>
      <c r="Z3" s="162">
        <f t="shared" si="0"/>
        <v>5</v>
      </c>
      <c r="AA3" s="162">
        <f t="shared" si="0"/>
        <v>6</v>
      </c>
      <c r="AB3" s="162">
        <f t="shared" si="0"/>
        <v>7</v>
      </c>
      <c r="AC3" s="162">
        <f t="shared" si="0"/>
        <v>8</v>
      </c>
      <c r="AD3" s="179"/>
      <c r="AE3" s="179"/>
      <c r="AF3" s="162">
        <f>IF(AC3=12,1,AC3+1)</f>
        <v>9</v>
      </c>
      <c r="AG3" s="162">
        <f t="shared" ref="AG3" si="1">IF(AF3=12,1,AF3+1)</f>
        <v>10</v>
      </c>
      <c r="AH3" s="162">
        <f t="shared" ref="AH3" si="2">IF(AG3=12,1,AG3+1)</f>
        <v>11</v>
      </c>
      <c r="AI3" s="162">
        <f t="shared" ref="AI3" si="3">IF(AH3=12,1,AH3+1)</f>
        <v>12</v>
      </c>
      <c r="AJ3" s="162">
        <f t="shared" ref="AJ3" si="4">IF(AI3=12,1,AI3+1)</f>
        <v>1</v>
      </c>
      <c r="AK3" s="162">
        <f t="shared" ref="AK3" si="5">IF(AJ3=12,1,AJ3+1)</f>
        <v>2</v>
      </c>
      <c r="AL3" s="162">
        <f t="shared" ref="AL3" si="6">IF(AK3=12,1,AK3+1)</f>
        <v>3</v>
      </c>
      <c r="AM3" s="162">
        <f t="shared" ref="AM3" si="7">IF(AL3=12,1,AL3+1)</f>
        <v>4</v>
      </c>
      <c r="AN3" s="162">
        <f t="shared" ref="AN3" si="8">IF(AM3=12,1,AM3+1)</f>
        <v>5</v>
      </c>
      <c r="AO3" s="162">
        <f t="shared" ref="AO3" si="9">IF(AN3=12,1,AN3+1)</f>
        <v>6</v>
      </c>
      <c r="AP3" s="162">
        <f t="shared" ref="AP3" si="10">IF(AO3=12,1,AO3+1)</f>
        <v>7</v>
      </c>
      <c r="AQ3" s="162">
        <f t="shared" ref="AQ3" si="11">IF(AP3=12,1,AP3+1)</f>
        <v>8</v>
      </c>
      <c r="AR3" s="179"/>
      <c r="AS3" s="179"/>
    </row>
    <row r="4" spans="1:47" ht="13.5" thickBot="1">
      <c r="B4" s="163"/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80"/>
      <c r="Q4" s="180"/>
      <c r="R4" s="164"/>
      <c r="S4" s="164"/>
      <c r="T4" s="164"/>
      <c r="U4" s="164"/>
      <c r="V4" s="164"/>
      <c r="W4" s="164"/>
      <c r="X4" s="164"/>
      <c r="Y4" s="164"/>
      <c r="Z4" s="164"/>
      <c r="AD4" s="180"/>
      <c r="AE4" s="180"/>
      <c r="AF4" s="164"/>
      <c r="AG4" s="164"/>
      <c r="AH4" s="164"/>
      <c r="AI4" s="164"/>
      <c r="AJ4" s="164"/>
      <c r="AK4" s="164"/>
      <c r="AL4" s="164"/>
      <c r="AM4" s="164"/>
      <c r="AN4" s="164"/>
      <c r="AR4" s="180"/>
      <c r="AS4" s="180"/>
    </row>
    <row r="5" spans="1:47" s="17" customFormat="1" ht="14.25" customHeight="1" thickTop="1" thickBot="1">
      <c r="A5" s="18" t="s">
        <v>19</v>
      </c>
      <c r="B5" s="101"/>
      <c r="C5" s="101"/>
      <c r="D5" s="397" t="s">
        <v>70</v>
      </c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9"/>
      <c r="R5" s="400" t="s">
        <v>71</v>
      </c>
      <c r="S5" s="401"/>
      <c r="T5" s="401"/>
      <c r="U5" s="401"/>
      <c r="V5" s="401"/>
      <c r="W5" s="401"/>
      <c r="X5" s="401"/>
      <c r="Y5" s="401"/>
      <c r="Z5" s="401"/>
      <c r="AA5" s="401"/>
      <c r="AB5" s="401"/>
      <c r="AC5" s="401"/>
      <c r="AD5" s="401"/>
      <c r="AE5" s="402"/>
      <c r="AF5" s="403" t="s">
        <v>75</v>
      </c>
      <c r="AG5" s="403"/>
      <c r="AH5" s="403"/>
      <c r="AI5" s="403"/>
      <c r="AJ5" s="403"/>
      <c r="AK5" s="403"/>
      <c r="AL5" s="403"/>
      <c r="AM5" s="403"/>
      <c r="AN5" s="403"/>
      <c r="AO5" s="403"/>
      <c r="AP5" s="403"/>
      <c r="AQ5" s="403"/>
      <c r="AR5" s="403"/>
      <c r="AS5" s="403"/>
    </row>
    <row r="6" spans="1:47" s="17" customFormat="1" ht="14.25" thickTop="1" thickBot="1">
      <c r="A6" s="21"/>
      <c r="B6" s="22"/>
      <c r="C6" s="22"/>
      <c r="D6" s="166" t="str">
        <f>CHOOSE(D3,'Обобщенный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сентябрь</v>
      </c>
      <c r="E6" s="166" t="str">
        <f>CHOOSE(E3,'Обобщенный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октябрь</v>
      </c>
      <c r="F6" s="166" t="str">
        <f>CHOOSE(F3,'Обобщенный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ноябрь</v>
      </c>
      <c r="G6" s="166" t="str">
        <f>CHOOSE(G3,'Обобщенный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декабрь</v>
      </c>
      <c r="H6" s="166" t="str">
        <f>CHOOSE(H3,'Обобщенный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январь</v>
      </c>
      <c r="I6" s="166" t="str">
        <f>CHOOSE(I3,'Обобщенный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февраль</v>
      </c>
      <c r="J6" s="166" t="str">
        <f>CHOOSE(J3,'Обобщенный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март</v>
      </c>
      <c r="K6" s="166" t="str">
        <f>CHOOSE(K3,'Обобщенный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апрель</v>
      </c>
      <c r="L6" s="166" t="str">
        <f>CHOOSE(L3,'Обобщенный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май</v>
      </c>
      <c r="M6" s="166" t="str">
        <f>CHOOSE(M3,'Обобщенный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июнь</v>
      </c>
      <c r="N6" s="166" t="str">
        <f>CHOOSE(N3,'Обобщенный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июль</v>
      </c>
      <c r="O6" s="166" t="str">
        <f>CHOOSE(O3,'Обобщенный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август</v>
      </c>
      <c r="P6" s="181"/>
      <c r="Q6" s="181"/>
      <c r="R6" s="166" t="str">
        <f>CHOOSE(R3,'Обобщенный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сентябрь</v>
      </c>
      <c r="S6" s="166" t="str">
        <f>CHOOSE(S3,'Обобщенный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октябрь</v>
      </c>
      <c r="T6" s="166" t="str">
        <f>CHOOSE(T3,'Обобщенный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ноябрь</v>
      </c>
      <c r="U6" s="166" t="str">
        <f>CHOOSE(U3,'Обобщенный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декабрь</v>
      </c>
      <c r="V6" s="166" t="str">
        <f>CHOOSE(V3,'Обобщенный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январь</v>
      </c>
      <c r="W6" s="166" t="str">
        <f>CHOOSE(W3,'Обобщенный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февраль</v>
      </c>
      <c r="X6" s="166" t="str">
        <f>CHOOSE(X3,'Обобщенный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март</v>
      </c>
      <c r="Y6" s="166" t="str">
        <f>CHOOSE(Y3,'Обобщенный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апрель</v>
      </c>
      <c r="Z6" s="166" t="str">
        <f>CHOOSE(Z3,'Обобщенный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май</v>
      </c>
      <c r="AA6" s="166" t="str">
        <f>CHOOSE(AA3,'Обобщенный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июнь</v>
      </c>
      <c r="AB6" s="166" t="str">
        <f>CHOOSE(AB3,'Обобщенный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июль</v>
      </c>
      <c r="AC6" s="166" t="str">
        <f>CHOOSE(AC3,'Обобщенный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август</v>
      </c>
      <c r="AD6" s="181"/>
      <c r="AE6" s="181"/>
      <c r="AF6" s="166" t="str">
        <f>CHOOSE(AF3,'Обобщенный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сентябрь</v>
      </c>
      <c r="AG6" s="166" t="str">
        <f>CHOOSE(AG3,'Обобщенный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октябрь</v>
      </c>
      <c r="AH6" s="166" t="str">
        <f>CHOOSE(AH3,'Обобщенный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ноябрь</v>
      </c>
      <c r="AI6" s="166" t="str">
        <f>CHOOSE(AI3,'Обобщенный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декабрь</v>
      </c>
      <c r="AJ6" s="166" t="str">
        <f>CHOOSE(AJ3,'Обобщенный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январь</v>
      </c>
      <c r="AK6" s="166" t="str">
        <f>CHOOSE(AK3,'Обобщенный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февраль</v>
      </c>
      <c r="AL6" s="166" t="str">
        <f>CHOOSE(AL3,'Обобщенный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март</v>
      </c>
      <c r="AM6" s="166" t="str">
        <f>CHOOSE(AM3,'Обобщенный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апрель</v>
      </c>
      <c r="AN6" s="166" t="str">
        <f>CHOOSE(AN3,'Обобщенный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май</v>
      </c>
      <c r="AO6" s="166" t="str">
        <f>CHOOSE(AO3,'Обобщенный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июнь</v>
      </c>
      <c r="AP6" s="166" t="str">
        <f>CHOOSE(AP3,'Обобщенный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июль</v>
      </c>
      <c r="AQ6" s="166" t="str">
        <f>CHOOSE(AQ3,'Обобщенный расчет'!$Q$1,'Обобщенный расчет'!$Q$2,'Обобщенный расчет'!$Q$3,'Обобщенный расчет'!$Q$4,'Обобщенный расчет'!$Q$5,'Обобщенный расчет'!$Q$6,'Обобщенный расчет'!$Q$7,'Обобщенный расчет'!$Q$8,'Обобщенный расчет'!$Q$9,'Обобщенный расчет'!$Q$10,'Обобщенный расчет'!$Q$11,'Обобщенный расчет'!$Q$12)</f>
        <v>август</v>
      </c>
      <c r="AR6" s="181"/>
      <c r="AS6" s="181"/>
      <c r="AT6" s="20"/>
    </row>
    <row r="7" spans="1:47" s="17" customFormat="1" ht="12" thickTop="1">
      <c r="A7" s="161" t="s">
        <v>72</v>
      </c>
      <c r="B7" s="90"/>
      <c r="C7" s="90"/>
      <c r="D7" s="159">
        <f>$D$142</f>
        <v>0.94498381877022652</v>
      </c>
      <c r="E7" s="159">
        <f>$E$142</f>
        <v>1.2599784250269688</v>
      </c>
      <c r="F7" s="159">
        <f>$F$142</f>
        <v>1.0631067961165048</v>
      </c>
      <c r="G7" s="159">
        <f>$G$142</f>
        <v>1.1418554476806904</v>
      </c>
      <c r="H7" s="159">
        <f>$H$142</f>
        <v>0.90560949298813387</v>
      </c>
      <c r="I7" s="159">
        <f>$I$142</f>
        <v>0.94498381877022652</v>
      </c>
      <c r="J7" s="159">
        <f>$J$142</f>
        <v>1.0631067961165048</v>
      </c>
      <c r="K7" s="159">
        <f>$K$142</f>
        <v>1.0631067961165048</v>
      </c>
      <c r="L7" s="159">
        <f>$L$142</f>
        <v>0.90560949298813387</v>
      </c>
      <c r="M7" s="159">
        <f>$M$142</f>
        <v>1.0237324703344122</v>
      </c>
      <c r="N7" s="159">
        <f>$N$142</f>
        <v>0.94498381877022652</v>
      </c>
      <c r="O7" s="159">
        <f>$O$142</f>
        <v>0.90560949298813387</v>
      </c>
      <c r="P7" s="178"/>
      <c r="Q7" s="178"/>
      <c r="R7" s="159">
        <f>$D$142</f>
        <v>0.94498381877022652</v>
      </c>
      <c r="S7" s="159">
        <f>$E$142</f>
        <v>1.2599784250269688</v>
      </c>
      <c r="T7" s="159">
        <f>$F$142</f>
        <v>1.0631067961165048</v>
      </c>
      <c r="U7" s="159">
        <f>$G$142</f>
        <v>1.1418554476806904</v>
      </c>
      <c r="V7" s="159">
        <f>$H$142</f>
        <v>0.90560949298813387</v>
      </c>
      <c r="W7" s="159">
        <f>$I$142</f>
        <v>0.94498381877022652</v>
      </c>
      <c r="X7" s="159">
        <f>$J$142</f>
        <v>1.0631067961165048</v>
      </c>
      <c r="Y7" s="159">
        <f>$K$142</f>
        <v>1.0631067961165048</v>
      </c>
      <c r="Z7" s="159">
        <f>$L$142</f>
        <v>0.90560949298813387</v>
      </c>
      <c r="AA7" s="159">
        <f>$M$142</f>
        <v>1.0237324703344122</v>
      </c>
      <c r="AB7" s="159">
        <f>$N$142</f>
        <v>0.94498381877022652</v>
      </c>
      <c r="AC7" s="159">
        <f>$O$142</f>
        <v>0.90560949298813387</v>
      </c>
      <c r="AD7" s="178"/>
      <c r="AE7" s="178"/>
      <c r="AF7" s="159">
        <f>$D$142</f>
        <v>0.94498381877022652</v>
      </c>
      <c r="AG7" s="159">
        <f>$E$142</f>
        <v>1.2599784250269688</v>
      </c>
      <c r="AH7" s="159">
        <f>$F$142</f>
        <v>1.0631067961165048</v>
      </c>
      <c r="AI7" s="159">
        <f>$G$142</f>
        <v>1.1418554476806904</v>
      </c>
      <c r="AJ7" s="159">
        <f>$H$142</f>
        <v>0.90560949298813387</v>
      </c>
      <c r="AK7" s="159">
        <f>$I$142</f>
        <v>0.94498381877022652</v>
      </c>
      <c r="AL7" s="159">
        <f>$J$142</f>
        <v>1.0631067961165048</v>
      </c>
      <c r="AM7" s="159">
        <f>$K$142</f>
        <v>1.0631067961165048</v>
      </c>
      <c r="AN7" s="159">
        <f>$L$142</f>
        <v>0.90560949298813387</v>
      </c>
      <c r="AO7" s="159">
        <f>$M$142</f>
        <v>1.0237324703344122</v>
      </c>
      <c r="AP7" s="159">
        <f>$N$142</f>
        <v>0.94498381877022652</v>
      </c>
      <c r="AQ7" s="159">
        <f>$O$142</f>
        <v>0.90560949298813387</v>
      </c>
      <c r="AR7" s="178"/>
      <c r="AS7" s="178"/>
      <c r="AT7" s="160"/>
    </row>
    <row r="8" spans="1:47">
      <c r="A8" s="17" t="s">
        <v>178</v>
      </c>
      <c r="D8" s="159">
        <v>1</v>
      </c>
      <c r="E8" s="159">
        <v>1</v>
      </c>
      <c r="F8" s="159">
        <v>1</v>
      </c>
      <c r="G8" s="159">
        <v>1</v>
      </c>
      <c r="H8" s="159">
        <v>1</v>
      </c>
      <c r="I8" s="159">
        <v>1</v>
      </c>
      <c r="J8" s="159">
        <v>1</v>
      </c>
      <c r="K8" s="159">
        <v>1</v>
      </c>
      <c r="L8" s="159">
        <v>1</v>
      </c>
      <c r="M8" s="159">
        <v>1</v>
      </c>
      <c r="N8" s="159">
        <v>1</v>
      </c>
      <c r="O8" s="159">
        <v>1</v>
      </c>
      <c r="P8" s="178"/>
      <c r="Q8" s="178"/>
      <c r="R8" s="159">
        <v>1</v>
      </c>
      <c r="S8" s="159">
        <v>1</v>
      </c>
      <c r="T8" s="159">
        <v>1</v>
      </c>
      <c r="U8" s="159">
        <v>1</v>
      </c>
      <c r="V8" s="159">
        <v>1</v>
      </c>
      <c r="W8" s="159">
        <v>1</v>
      </c>
      <c r="X8" s="159">
        <v>1</v>
      </c>
      <c r="Y8" s="159">
        <v>1</v>
      </c>
      <c r="Z8" s="159">
        <v>1</v>
      </c>
      <c r="AA8" s="159">
        <v>1</v>
      </c>
      <c r="AB8" s="159">
        <v>1</v>
      </c>
      <c r="AC8" s="159">
        <v>1</v>
      </c>
      <c r="AD8" s="178"/>
      <c r="AE8" s="178"/>
      <c r="AF8" s="159">
        <v>1</v>
      </c>
      <c r="AG8" s="159">
        <v>1</v>
      </c>
      <c r="AH8" s="159">
        <v>1</v>
      </c>
      <c r="AI8" s="159">
        <v>1</v>
      </c>
      <c r="AJ8" s="159">
        <v>1</v>
      </c>
      <c r="AK8" s="159">
        <v>1</v>
      </c>
      <c r="AL8" s="159">
        <v>1</v>
      </c>
      <c r="AM8" s="159">
        <v>1</v>
      </c>
      <c r="AN8" s="159">
        <v>1</v>
      </c>
      <c r="AO8" s="159">
        <v>1</v>
      </c>
      <c r="AP8" s="159">
        <v>1</v>
      </c>
      <c r="AQ8" s="159">
        <v>1</v>
      </c>
      <c r="AR8" s="178"/>
      <c r="AS8" s="178"/>
    </row>
    <row r="9" spans="1:47">
      <c r="A9" s="17" t="s">
        <v>18</v>
      </c>
      <c r="D9" s="159">
        <v>1</v>
      </c>
      <c r="E9" s="159">
        <v>1</v>
      </c>
      <c r="F9" s="159">
        <v>1</v>
      </c>
      <c r="G9" s="159">
        <v>1</v>
      </c>
      <c r="H9" s="159">
        <v>1</v>
      </c>
      <c r="I9" s="159">
        <v>1</v>
      </c>
      <c r="J9" s="159">
        <v>1</v>
      </c>
      <c r="K9" s="159">
        <v>1</v>
      </c>
      <c r="L9" s="159">
        <v>1</v>
      </c>
      <c r="M9" s="159">
        <v>1</v>
      </c>
      <c r="N9" s="159">
        <v>1</v>
      </c>
      <c r="O9" s="159">
        <v>1</v>
      </c>
      <c r="P9" s="178"/>
      <c r="Q9" s="178"/>
      <c r="R9" s="159">
        <v>1</v>
      </c>
      <c r="S9" s="159">
        <v>1</v>
      </c>
      <c r="T9" s="159">
        <v>1</v>
      </c>
      <c r="U9" s="159">
        <v>1</v>
      </c>
      <c r="V9" s="159">
        <v>1</v>
      </c>
      <c r="W9" s="159">
        <v>1</v>
      </c>
      <c r="X9" s="159">
        <v>1</v>
      </c>
      <c r="Y9" s="159">
        <v>1</v>
      </c>
      <c r="Z9" s="159">
        <v>1</v>
      </c>
      <c r="AA9" s="159">
        <v>1</v>
      </c>
      <c r="AB9" s="159">
        <v>1</v>
      </c>
      <c r="AC9" s="159">
        <v>1</v>
      </c>
      <c r="AD9" s="178"/>
      <c r="AE9" s="178"/>
      <c r="AF9" s="159">
        <v>1</v>
      </c>
      <c r="AG9" s="159">
        <v>1</v>
      </c>
      <c r="AH9" s="159">
        <v>1</v>
      </c>
      <c r="AI9" s="159">
        <v>1</v>
      </c>
      <c r="AJ9" s="159">
        <v>1</v>
      </c>
      <c r="AK9" s="159">
        <v>1</v>
      </c>
      <c r="AL9" s="159">
        <v>1</v>
      </c>
      <c r="AM9" s="159">
        <v>1</v>
      </c>
      <c r="AN9" s="159">
        <v>1</v>
      </c>
      <c r="AO9" s="159">
        <v>1</v>
      </c>
      <c r="AP9" s="159">
        <v>1</v>
      </c>
      <c r="AQ9" s="159">
        <v>1</v>
      </c>
      <c r="AR9" s="178"/>
      <c r="AS9" s="178"/>
    </row>
    <row r="10" spans="1:47" s="26" customFormat="1" ht="12" thickBot="1">
      <c r="A10" s="23"/>
      <c r="B10" s="24"/>
      <c r="C10" s="24"/>
      <c r="D10" s="23"/>
      <c r="E10" s="23"/>
      <c r="F10" s="23"/>
      <c r="G10" s="23"/>
      <c r="H10" s="23"/>
      <c r="I10" s="23"/>
      <c r="J10" s="23"/>
      <c r="K10" s="23"/>
      <c r="L10" s="25"/>
      <c r="M10" s="25"/>
      <c r="N10" s="25"/>
      <c r="O10" s="25"/>
      <c r="P10" s="182"/>
      <c r="Q10" s="182"/>
      <c r="R10" s="23"/>
      <c r="S10" s="23"/>
      <c r="T10" s="23"/>
      <c r="U10" s="23"/>
      <c r="V10" s="23"/>
      <c r="W10" s="23"/>
      <c r="X10" s="23"/>
      <c r="Y10" s="23"/>
      <c r="Z10" s="25"/>
      <c r="AA10" s="25"/>
      <c r="AB10" s="25"/>
      <c r="AC10" s="25"/>
      <c r="AD10" s="182"/>
      <c r="AE10" s="182"/>
      <c r="AF10" s="23"/>
      <c r="AG10" s="23"/>
      <c r="AH10" s="23"/>
      <c r="AI10" s="23"/>
      <c r="AJ10" s="23"/>
      <c r="AK10" s="23"/>
      <c r="AL10" s="23"/>
      <c r="AM10" s="23"/>
      <c r="AN10" s="25"/>
      <c r="AO10" s="25"/>
      <c r="AP10" s="25"/>
      <c r="AQ10" s="25"/>
      <c r="AR10" s="182"/>
      <c r="AS10" s="182"/>
      <c r="AT10" s="25"/>
    </row>
    <row r="11" spans="1:47" s="17" customFormat="1" ht="11.25">
      <c r="P11" s="183"/>
      <c r="Q11" s="183"/>
      <c r="AD11" s="183"/>
      <c r="AE11" s="183"/>
      <c r="AR11" s="183"/>
      <c r="AS11" s="183"/>
    </row>
    <row r="12" spans="1:47" s="17" customFormat="1" ht="13.5" customHeight="1" thickBot="1">
      <c r="A12" s="101"/>
      <c r="B12" s="101"/>
      <c r="C12" s="101"/>
      <c r="D12" s="400" t="s">
        <v>70</v>
      </c>
      <c r="E12" s="401"/>
      <c r="F12" s="401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2"/>
      <c r="R12" s="400" t="s">
        <v>71</v>
      </c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2"/>
      <c r="AF12" s="403" t="s">
        <v>75</v>
      </c>
      <c r="AG12" s="403"/>
      <c r="AH12" s="403"/>
      <c r="AI12" s="403"/>
      <c r="AJ12" s="403"/>
      <c r="AK12" s="403"/>
      <c r="AL12" s="403"/>
      <c r="AM12" s="403"/>
      <c r="AN12" s="403"/>
      <c r="AO12" s="403"/>
      <c r="AP12" s="403"/>
      <c r="AQ12" s="403"/>
      <c r="AR12" s="403"/>
      <c r="AS12" s="403"/>
      <c r="AT12" s="395" t="s">
        <v>83</v>
      </c>
    </row>
    <row r="13" spans="1:47" s="29" customFormat="1" ht="24" thickTop="1" thickBot="1">
      <c r="A13" s="27" t="s">
        <v>20</v>
      </c>
      <c r="B13" s="28"/>
      <c r="C13" s="165"/>
      <c r="D13" s="165" t="str">
        <f t="shared" ref="D13:O13" si="12">D$6</f>
        <v>сентябрь</v>
      </c>
      <c r="E13" s="165" t="str">
        <f t="shared" si="12"/>
        <v>октябрь</v>
      </c>
      <c r="F13" s="165" t="str">
        <f t="shared" si="12"/>
        <v>ноябрь</v>
      </c>
      <c r="G13" s="165" t="str">
        <f t="shared" si="12"/>
        <v>декабрь</v>
      </c>
      <c r="H13" s="165" t="str">
        <f t="shared" si="12"/>
        <v>январь</v>
      </c>
      <c r="I13" s="165" t="str">
        <f t="shared" si="12"/>
        <v>февраль</v>
      </c>
      <c r="J13" s="165" t="str">
        <f t="shared" si="12"/>
        <v>март</v>
      </c>
      <c r="K13" s="165" t="str">
        <f t="shared" si="12"/>
        <v>апрель</v>
      </c>
      <c r="L13" s="165" t="str">
        <f t="shared" si="12"/>
        <v>май</v>
      </c>
      <c r="M13" s="165" t="str">
        <f t="shared" si="12"/>
        <v>июнь</v>
      </c>
      <c r="N13" s="165" t="str">
        <f t="shared" si="12"/>
        <v>июль</v>
      </c>
      <c r="O13" s="165" t="str">
        <f t="shared" si="12"/>
        <v>август</v>
      </c>
      <c r="P13" s="184" t="s">
        <v>76</v>
      </c>
      <c r="Q13" s="184" t="s">
        <v>77</v>
      </c>
      <c r="R13" s="165" t="str">
        <f t="shared" ref="R13:AC13" si="13">R$6</f>
        <v>сентябрь</v>
      </c>
      <c r="S13" s="165" t="str">
        <f t="shared" si="13"/>
        <v>октябрь</v>
      </c>
      <c r="T13" s="165" t="str">
        <f t="shared" si="13"/>
        <v>ноябрь</v>
      </c>
      <c r="U13" s="165" t="str">
        <f t="shared" si="13"/>
        <v>декабрь</v>
      </c>
      <c r="V13" s="165" t="str">
        <f t="shared" si="13"/>
        <v>январь</v>
      </c>
      <c r="W13" s="165" t="str">
        <f t="shared" si="13"/>
        <v>февраль</v>
      </c>
      <c r="X13" s="165" t="str">
        <f t="shared" si="13"/>
        <v>март</v>
      </c>
      <c r="Y13" s="165" t="str">
        <f t="shared" si="13"/>
        <v>апрель</v>
      </c>
      <c r="Z13" s="165" t="str">
        <f t="shared" si="13"/>
        <v>май</v>
      </c>
      <c r="AA13" s="165" t="str">
        <f t="shared" si="13"/>
        <v>июнь</v>
      </c>
      <c r="AB13" s="165" t="str">
        <f t="shared" si="13"/>
        <v>июль</v>
      </c>
      <c r="AC13" s="165" t="str">
        <f t="shared" si="13"/>
        <v>август</v>
      </c>
      <c r="AD13" s="184" t="s">
        <v>80</v>
      </c>
      <c r="AE13" s="184" t="s">
        <v>79</v>
      </c>
      <c r="AF13" s="165" t="str">
        <f t="shared" ref="AF13:AQ13" si="14">AF$6</f>
        <v>сентябрь</v>
      </c>
      <c r="AG13" s="165" t="str">
        <f t="shared" si="14"/>
        <v>октябрь</v>
      </c>
      <c r="AH13" s="165" t="str">
        <f t="shared" si="14"/>
        <v>ноябрь</v>
      </c>
      <c r="AI13" s="165" t="str">
        <f t="shared" si="14"/>
        <v>декабрь</v>
      </c>
      <c r="AJ13" s="165" t="str">
        <f t="shared" si="14"/>
        <v>январь</v>
      </c>
      <c r="AK13" s="165" t="str">
        <f t="shared" si="14"/>
        <v>февраль</v>
      </c>
      <c r="AL13" s="165" t="str">
        <f t="shared" si="14"/>
        <v>март</v>
      </c>
      <c r="AM13" s="165" t="str">
        <f t="shared" si="14"/>
        <v>апрель</v>
      </c>
      <c r="AN13" s="165" t="str">
        <f t="shared" si="14"/>
        <v>май</v>
      </c>
      <c r="AO13" s="165" t="str">
        <f t="shared" si="14"/>
        <v>июнь</v>
      </c>
      <c r="AP13" s="165" t="str">
        <f t="shared" si="14"/>
        <v>июль</v>
      </c>
      <c r="AQ13" s="165" t="str">
        <f t="shared" si="14"/>
        <v>август</v>
      </c>
      <c r="AR13" s="184" t="s">
        <v>81</v>
      </c>
      <c r="AS13" s="184" t="s">
        <v>82</v>
      </c>
      <c r="AT13" s="396"/>
    </row>
    <row r="14" spans="1:47" s="29" customFormat="1" ht="12" thickTop="1">
      <c r="A14" s="260" t="s">
        <v>168</v>
      </c>
      <c r="D14" s="31"/>
      <c r="E14" s="31"/>
      <c r="F14" s="31"/>
      <c r="G14" s="31"/>
      <c r="H14" s="31"/>
      <c r="I14" s="31"/>
      <c r="J14" s="31"/>
      <c r="K14" s="31"/>
      <c r="P14" s="82"/>
      <c r="Q14" s="82"/>
      <c r="R14" s="31"/>
      <c r="S14" s="31"/>
      <c r="T14" s="31"/>
      <c r="U14" s="31"/>
      <c r="V14" s="31"/>
      <c r="W14" s="31"/>
      <c r="X14" s="31"/>
      <c r="Y14" s="31"/>
      <c r="AD14" s="82"/>
      <c r="AE14" s="82"/>
      <c r="AF14" s="31"/>
      <c r="AG14" s="31"/>
      <c r="AH14" s="31"/>
      <c r="AI14" s="31"/>
      <c r="AJ14" s="31"/>
      <c r="AK14" s="31"/>
      <c r="AL14" s="31"/>
      <c r="AM14" s="31"/>
      <c r="AR14" s="82"/>
      <c r="AS14" s="82"/>
    </row>
    <row r="15" spans="1:47" s="29" customFormat="1" ht="11.25">
      <c r="A15" s="87" t="str">
        <f>'Обобщенный расчет'!B9</f>
        <v>Бургеры, Сэндвичи</v>
      </c>
      <c r="B15" s="33" t="s">
        <v>105</v>
      </c>
      <c r="C15" s="33"/>
      <c r="D15" s="46">
        <f>'Обобщенный расчет'!$I9*D$7*D$8</f>
        <v>462132.52427184471</v>
      </c>
      <c r="E15" s="46">
        <f>'Обобщенный расчет'!$I9*E$7*E$8</f>
        <v>616176.69902912632</v>
      </c>
      <c r="F15" s="46">
        <f>'Обобщенный расчет'!$I9*F$7*F$8</f>
        <v>519899.08980582526</v>
      </c>
      <c r="G15" s="46">
        <f>'Обобщенный расчет'!$I9*G$7*G$8</f>
        <v>558410.13349514571</v>
      </c>
      <c r="H15" s="46">
        <f>'Обобщенный расчет'!$I9*H$7*H$8</f>
        <v>442877.00242718455</v>
      </c>
      <c r="I15" s="46">
        <f>'Обобщенный расчет'!$I9*I$7*I$8</f>
        <v>462132.52427184471</v>
      </c>
      <c r="J15" s="46">
        <f>'Обобщенный расчет'!$I9*J$7*J$8</f>
        <v>519899.08980582526</v>
      </c>
      <c r="K15" s="46">
        <f>'Обобщенный расчет'!$I9*K$7*K$8</f>
        <v>519899.08980582526</v>
      </c>
      <c r="L15" s="46">
        <f>'Обобщенный расчет'!$I9*L$7*L$8</f>
        <v>442877.00242718455</v>
      </c>
      <c r="M15" s="46">
        <f>'Обобщенный расчет'!$I9*M$7*M$8</f>
        <v>500643.56796116516</v>
      </c>
      <c r="N15" s="46">
        <f>'Обобщенный расчет'!$I9*N$7*N$8</f>
        <v>462132.52427184471</v>
      </c>
      <c r="O15" s="46">
        <f>'Обобщенный расчет'!$I9*O$7*O$8</f>
        <v>442877.00242718455</v>
      </c>
      <c r="P15" s="185">
        <f>SUM(D15:O15)</f>
        <v>5949956.2500000009</v>
      </c>
      <c r="Q15" s="185">
        <f>P15/12</f>
        <v>495829.68750000006</v>
      </c>
      <c r="R15" s="46">
        <f>'Обобщенный расчет'!$I9*R$7*R$8</f>
        <v>462132.52427184471</v>
      </c>
      <c r="S15" s="46">
        <f>'Обобщенный расчет'!$I9*S$7*S$8</f>
        <v>616176.69902912632</v>
      </c>
      <c r="T15" s="46">
        <f>'Обобщенный расчет'!$I9*T$7*T$8</f>
        <v>519899.08980582526</v>
      </c>
      <c r="U15" s="46">
        <f>'Обобщенный расчет'!$I9*U$7*U$8</f>
        <v>558410.13349514571</v>
      </c>
      <c r="V15" s="46">
        <f>'Обобщенный расчет'!$I9*V$7*V$8</f>
        <v>442877.00242718455</v>
      </c>
      <c r="W15" s="46">
        <f>'Обобщенный расчет'!$I9*W$7*W$8</f>
        <v>462132.52427184471</v>
      </c>
      <c r="X15" s="46">
        <f>'Обобщенный расчет'!$I9*X$7*X$8</f>
        <v>519899.08980582526</v>
      </c>
      <c r="Y15" s="46">
        <f>'Обобщенный расчет'!$I9*Y$7*Y$8</f>
        <v>519899.08980582526</v>
      </c>
      <c r="Z15" s="46">
        <f>'Обобщенный расчет'!$I9*Z$7*Z$8</f>
        <v>442877.00242718455</v>
      </c>
      <c r="AA15" s="46">
        <f>'Обобщенный расчет'!$I9*AA$7*AA$8</f>
        <v>500643.56796116516</v>
      </c>
      <c r="AB15" s="46">
        <f>'Обобщенный расчет'!$I9*AB$7*AB$8</f>
        <v>462132.52427184471</v>
      </c>
      <c r="AC15" s="46">
        <f>'Обобщенный расчет'!$I9*AC$7*AC$8</f>
        <v>442877.00242718455</v>
      </c>
      <c r="AD15" s="185">
        <f>SUM(R15:AC15)</f>
        <v>5949956.2500000009</v>
      </c>
      <c r="AE15" s="185">
        <f>AD15/12</f>
        <v>495829.68750000006</v>
      </c>
      <c r="AF15" s="46">
        <f>'Обобщенный расчет'!$I9*AF$7*AF$8</f>
        <v>462132.52427184471</v>
      </c>
      <c r="AG15" s="46">
        <f>'Обобщенный расчет'!$I9*AG$7*AG$8</f>
        <v>616176.69902912632</v>
      </c>
      <c r="AH15" s="46">
        <f>'Обобщенный расчет'!$I9*AH$7*AH$8</f>
        <v>519899.08980582526</v>
      </c>
      <c r="AI15" s="46">
        <f>'Обобщенный расчет'!$I9*AI$7*AI$8</f>
        <v>558410.13349514571</v>
      </c>
      <c r="AJ15" s="46">
        <f>'Обобщенный расчет'!$I9*AJ$7*AJ$8</f>
        <v>442877.00242718455</v>
      </c>
      <c r="AK15" s="46">
        <f>'Обобщенный расчет'!$I9*AK$7*AK$8</f>
        <v>462132.52427184471</v>
      </c>
      <c r="AL15" s="46">
        <f>'Обобщенный расчет'!$I9*AL$7*AL$8</f>
        <v>519899.08980582526</v>
      </c>
      <c r="AM15" s="46">
        <f>'Обобщенный расчет'!$I9*AM$7*AM$8</f>
        <v>519899.08980582526</v>
      </c>
      <c r="AN15" s="46">
        <f>'Обобщенный расчет'!$I9*AN$7*AN$8</f>
        <v>442877.00242718455</v>
      </c>
      <c r="AO15" s="46">
        <f>'Обобщенный расчет'!$I9*AO$7*AO$8</f>
        <v>500643.56796116516</v>
      </c>
      <c r="AP15" s="46">
        <f>'Обобщенный расчет'!$I9*AP$7*AP$8</f>
        <v>462132.52427184471</v>
      </c>
      <c r="AQ15" s="46">
        <f>'Обобщенный расчет'!$I9*AQ$7*AQ$8</f>
        <v>442877.00242718455</v>
      </c>
      <c r="AR15" s="185">
        <f>SUM(AF15:AQ15)</f>
        <v>5949956.2500000009</v>
      </c>
      <c r="AS15" s="185">
        <f>AR15/12</f>
        <v>495829.68750000006</v>
      </c>
      <c r="AT15" s="185">
        <f>P15+AD15+AR15</f>
        <v>17849868.750000004</v>
      </c>
      <c r="AU15" s="35"/>
    </row>
    <row r="16" spans="1:47" s="40" customFormat="1" ht="11.25">
      <c r="A16" s="88" t="str">
        <f>'Обобщенный расчет'!B11</f>
        <v>Напитки холодные</v>
      </c>
      <c r="B16" s="37" t="s">
        <v>105</v>
      </c>
      <c r="C16" s="37"/>
      <c r="D16" s="49">
        <f>'Обобщенный расчет'!$I11*D$7*D$8</f>
        <v>256740.29126213593</v>
      </c>
      <c r="E16" s="49">
        <f>'Обобщенный расчет'!$I11*E$7*E$8</f>
        <v>342320.38834951457</v>
      </c>
      <c r="F16" s="49">
        <f>'Обобщенный расчет'!$I11*F$7*F$8</f>
        <v>288832.82766990288</v>
      </c>
      <c r="G16" s="49">
        <f>'Обобщенный расчет'!$I11*G$7*G$8</f>
        <v>310227.85194174759</v>
      </c>
      <c r="H16" s="49">
        <f>'Обобщенный расчет'!$I11*H$7*H$8</f>
        <v>246042.77912621363</v>
      </c>
      <c r="I16" s="49">
        <f>'Обобщенный расчет'!$I11*I$7*I$8</f>
        <v>256740.29126213593</v>
      </c>
      <c r="J16" s="49">
        <f>'Обобщенный расчет'!$I11*J$7*J$8</f>
        <v>288832.82766990288</v>
      </c>
      <c r="K16" s="49">
        <f>'Обобщенный расчет'!$I11*K$7*K$8</f>
        <v>288832.82766990288</v>
      </c>
      <c r="L16" s="49">
        <f>'Обобщенный расчет'!$I11*L$7*L$8</f>
        <v>246042.77912621363</v>
      </c>
      <c r="M16" s="49">
        <f>'Обобщенный расчет'!$I11*M$7*M$8</f>
        <v>278135.31553398061</v>
      </c>
      <c r="N16" s="49">
        <f>'Обобщенный расчет'!$I11*N$7*N$8</f>
        <v>256740.29126213593</v>
      </c>
      <c r="O16" s="49">
        <f>'Обобщенный расчет'!$I11*O$7*O$8</f>
        <v>246042.77912621363</v>
      </c>
      <c r="P16" s="79">
        <f t="shared" ref="P16:P29" si="15">SUM(D16:O16)</f>
        <v>3305531.25</v>
      </c>
      <c r="Q16" s="79">
        <f t="shared" ref="Q16:Q29" si="16">P16/12</f>
        <v>275460.9375</v>
      </c>
      <c r="R16" s="49">
        <f>'Обобщенный расчет'!$I11*R$7*R$8</f>
        <v>256740.29126213593</v>
      </c>
      <c r="S16" s="49">
        <f>'Обобщенный расчет'!$I11*S$7*S$8</f>
        <v>342320.38834951457</v>
      </c>
      <c r="T16" s="49">
        <f>'Обобщенный расчет'!$I11*T$7*T$8</f>
        <v>288832.82766990288</v>
      </c>
      <c r="U16" s="49">
        <f>'Обобщенный расчет'!$I11*U$7*U$8</f>
        <v>310227.85194174759</v>
      </c>
      <c r="V16" s="49">
        <f>'Обобщенный расчет'!$I11*V$7*V$8</f>
        <v>246042.77912621363</v>
      </c>
      <c r="W16" s="49">
        <f>'Обобщенный расчет'!$I11*W$7*W$8</f>
        <v>256740.29126213593</v>
      </c>
      <c r="X16" s="49">
        <f>'Обобщенный расчет'!$I11*X$7*X$8</f>
        <v>288832.82766990288</v>
      </c>
      <c r="Y16" s="49">
        <f>'Обобщенный расчет'!$I11*Y$7*Y$8</f>
        <v>288832.82766990288</v>
      </c>
      <c r="Z16" s="49">
        <f>'Обобщенный расчет'!$I11*Z$7*Z$8</f>
        <v>246042.77912621363</v>
      </c>
      <c r="AA16" s="49">
        <f>'Обобщенный расчет'!$I11*AA$7*AA$8</f>
        <v>278135.31553398061</v>
      </c>
      <c r="AB16" s="49">
        <f>'Обобщенный расчет'!$I11*AB$7*AB$8</f>
        <v>256740.29126213593</v>
      </c>
      <c r="AC16" s="49">
        <f>'Обобщенный расчет'!$I11*AC$7*AC$8</f>
        <v>246042.77912621363</v>
      </c>
      <c r="AD16" s="79">
        <f t="shared" ref="AD16:AD23" si="17">SUM(R16:AC16)</f>
        <v>3305531.25</v>
      </c>
      <c r="AE16" s="79">
        <f t="shared" ref="AE16:AE23" si="18">AD16/12</f>
        <v>275460.9375</v>
      </c>
      <c r="AF16" s="49">
        <f>'Обобщенный расчет'!$I11*AF$7*AF$8</f>
        <v>256740.29126213593</v>
      </c>
      <c r="AG16" s="49">
        <f>'Обобщенный расчет'!$I11*AG$7*AG$8</f>
        <v>342320.38834951457</v>
      </c>
      <c r="AH16" s="49">
        <f>'Обобщенный расчет'!$I11*AH$7*AH$8</f>
        <v>288832.82766990288</v>
      </c>
      <c r="AI16" s="49">
        <f>'Обобщенный расчет'!$I11*AI$7*AI$8</f>
        <v>310227.85194174759</v>
      </c>
      <c r="AJ16" s="49">
        <f>'Обобщенный расчет'!$I11*AJ$7*AJ$8</f>
        <v>246042.77912621363</v>
      </c>
      <c r="AK16" s="49">
        <f>'Обобщенный расчет'!$I11*AK$7*AK$8</f>
        <v>256740.29126213593</v>
      </c>
      <c r="AL16" s="49">
        <f>'Обобщенный расчет'!$I11*AL$7*AL$8</f>
        <v>288832.82766990288</v>
      </c>
      <c r="AM16" s="49">
        <f>'Обобщенный расчет'!$I11*AM$7*AM$8</f>
        <v>288832.82766990288</v>
      </c>
      <c r="AN16" s="49">
        <f>'Обобщенный расчет'!$I11*AN$7*AN$8</f>
        <v>246042.77912621363</v>
      </c>
      <c r="AO16" s="49">
        <f>'Обобщенный расчет'!$I11*AO$7*AO$8</f>
        <v>278135.31553398061</v>
      </c>
      <c r="AP16" s="49">
        <f>'Обобщенный расчет'!$I11*AP$7*AP$8</f>
        <v>256740.29126213593</v>
      </c>
      <c r="AQ16" s="49">
        <f>'Обобщенный расчет'!$I11*AQ$7*AQ$8</f>
        <v>246042.77912621363</v>
      </c>
      <c r="AR16" s="79">
        <f t="shared" ref="AR16:AR23" si="19">SUM(AF16:AQ16)</f>
        <v>3305531.25</v>
      </c>
      <c r="AS16" s="79">
        <f t="shared" ref="AS16:AS23" si="20">AR16/12</f>
        <v>275460.9375</v>
      </c>
      <c r="AT16" s="79">
        <f t="shared" ref="AT16:AT29" si="21">P16+AD16+AR16</f>
        <v>9916593.75</v>
      </c>
      <c r="AU16" s="39"/>
    </row>
    <row r="17" spans="1:47" s="29" customFormat="1" ht="11.25">
      <c r="A17" s="32" t="str">
        <f>'Обобщенный расчет'!B12</f>
        <v>Хот-доги, роллы</v>
      </c>
      <c r="B17" s="33" t="s">
        <v>105</v>
      </c>
      <c r="C17" s="33"/>
      <c r="D17" s="46">
        <f>'Обобщенный расчет'!$I12*D$7*D$8</f>
        <v>239624.27184466022</v>
      </c>
      <c r="E17" s="46">
        <f>'Обобщенный расчет'!$I12*E$7*E$8</f>
        <v>319499.02912621363</v>
      </c>
      <c r="F17" s="46">
        <f>'Обобщенный расчет'!$I12*F$7*F$8</f>
        <v>269577.30582524271</v>
      </c>
      <c r="G17" s="46">
        <f>'Обобщенный расчет'!$I12*G$7*G$8</f>
        <v>289545.99514563108</v>
      </c>
      <c r="H17" s="46">
        <f>'Обобщенный расчет'!$I12*H$7*H$8</f>
        <v>229639.92718446607</v>
      </c>
      <c r="I17" s="46">
        <f>'Обобщенный расчет'!$I12*I$7*I$8</f>
        <v>239624.27184466022</v>
      </c>
      <c r="J17" s="46">
        <f>'Обобщенный расчет'!$I12*J$7*J$8</f>
        <v>269577.30582524271</v>
      </c>
      <c r="K17" s="46">
        <f>'Обобщенный расчет'!$I12*K$7*K$8</f>
        <v>269577.30582524271</v>
      </c>
      <c r="L17" s="46">
        <f>'Обобщенный расчет'!$I12*L$7*L$8</f>
        <v>229639.92718446607</v>
      </c>
      <c r="M17" s="46">
        <f>'Обобщенный расчет'!$I12*M$7*M$8</f>
        <v>259592.96116504859</v>
      </c>
      <c r="N17" s="46">
        <f>'Обобщенный расчет'!$I12*N$7*N$8</f>
        <v>239624.27184466022</v>
      </c>
      <c r="O17" s="46">
        <f>'Обобщенный расчет'!$I12*O$7*O$8</f>
        <v>229639.92718446607</v>
      </c>
      <c r="P17" s="185">
        <f t="shared" si="15"/>
        <v>3085162.5000000009</v>
      </c>
      <c r="Q17" s="185">
        <f t="shared" si="16"/>
        <v>257096.87500000009</v>
      </c>
      <c r="R17" s="46">
        <f>'Обобщенный расчет'!$I12*R$7*R$8</f>
        <v>239624.27184466022</v>
      </c>
      <c r="S17" s="46">
        <f>'Обобщенный расчет'!$I12*S$7*S$8</f>
        <v>319499.02912621363</v>
      </c>
      <c r="T17" s="46">
        <f>'Обобщенный расчет'!$I12*T$7*T$8</f>
        <v>269577.30582524271</v>
      </c>
      <c r="U17" s="46">
        <f>'Обобщенный расчет'!$I12*U$7*U$8</f>
        <v>289545.99514563108</v>
      </c>
      <c r="V17" s="46">
        <f>'Обобщенный расчет'!$I12*V$7*V$8</f>
        <v>229639.92718446607</v>
      </c>
      <c r="W17" s="46">
        <f>'Обобщенный расчет'!$I12*W$7*W$8</f>
        <v>239624.27184466022</v>
      </c>
      <c r="X17" s="46">
        <f>'Обобщенный расчет'!$I12*X$7*X$8</f>
        <v>269577.30582524271</v>
      </c>
      <c r="Y17" s="46">
        <f>'Обобщенный расчет'!$I12*Y$7*Y$8</f>
        <v>269577.30582524271</v>
      </c>
      <c r="Z17" s="46">
        <f>'Обобщенный расчет'!$I12*Z$7*Z$8</f>
        <v>229639.92718446607</v>
      </c>
      <c r="AA17" s="46">
        <f>'Обобщенный расчет'!$I12*AA$7*AA$8</f>
        <v>259592.96116504859</v>
      </c>
      <c r="AB17" s="46">
        <f>'Обобщенный расчет'!$I12*AB$7*AB$8</f>
        <v>239624.27184466022</v>
      </c>
      <c r="AC17" s="46">
        <f>'Обобщенный расчет'!$I12*AC$7*AC$8</f>
        <v>229639.92718446607</v>
      </c>
      <c r="AD17" s="185">
        <f t="shared" si="17"/>
        <v>3085162.5000000009</v>
      </c>
      <c r="AE17" s="185">
        <f t="shared" si="18"/>
        <v>257096.87500000009</v>
      </c>
      <c r="AF17" s="46">
        <f>'Обобщенный расчет'!$I12*AF$7*AF$8</f>
        <v>239624.27184466022</v>
      </c>
      <c r="AG17" s="46">
        <f>'Обобщенный расчет'!$I12*AG$7*AG$8</f>
        <v>319499.02912621363</v>
      </c>
      <c r="AH17" s="46">
        <f>'Обобщенный расчет'!$I12*AH$7*AH$8</f>
        <v>269577.30582524271</v>
      </c>
      <c r="AI17" s="46">
        <f>'Обобщенный расчет'!$I12*AI$7*AI$8</f>
        <v>289545.99514563108</v>
      </c>
      <c r="AJ17" s="46">
        <f>'Обобщенный расчет'!$I12*AJ$7*AJ$8</f>
        <v>229639.92718446607</v>
      </c>
      <c r="AK17" s="46">
        <f>'Обобщенный расчет'!$I12*AK$7*AK$8</f>
        <v>239624.27184466022</v>
      </c>
      <c r="AL17" s="46">
        <f>'Обобщенный расчет'!$I12*AL$7*AL$8</f>
        <v>269577.30582524271</v>
      </c>
      <c r="AM17" s="46">
        <f>'Обобщенный расчет'!$I12*AM$7*AM$8</f>
        <v>269577.30582524271</v>
      </c>
      <c r="AN17" s="46">
        <f>'Обобщенный расчет'!$I12*AN$7*AN$8</f>
        <v>229639.92718446607</v>
      </c>
      <c r="AO17" s="46">
        <f>'Обобщенный расчет'!$I12*AO$7*AO$8</f>
        <v>259592.96116504859</v>
      </c>
      <c r="AP17" s="46">
        <f>'Обобщенный расчет'!$I12*AP$7*AP$8</f>
        <v>239624.27184466022</v>
      </c>
      <c r="AQ17" s="46">
        <f>'Обобщенный расчет'!$I12*AQ$7*AQ$8</f>
        <v>229639.92718446607</v>
      </c>
      <c r="AR17" s="185">
        <f t="shared" si="19"/>
        <v>3085162.5000000009</v>
      </c>
      <c r="AS17" s="185">
        <f t="shared" si="20"/>
        <v>257096.87500000009</v>
      </c>
      <c r="AT17" s="185">
        <f t="shared" si="21"/>
        <v>9255487.5000000037</v>
      </c>
      <c r="AU17" s="35"/>
    </row>
    <row r="18" spans="1:47" s="40" customFormat="1" ht="11.25">
      <c r="A18" s="36" t="str">
        <f>'Обобщенный расчет'!B13</f>
        <v>Салаты, Сопут. товар</v>
      </c>
      <c r="B18" s="37" t="s">
        <v>105</v>
      </c>
      <c r="C18" s="37"/>
      <c r="D18" s="49">
        <f>'Обобщенный расчет'!$I13*D$7*D$8</f>
        <v>17116.019417475727</v>
      </c>
      <c r="E18" s="49">
        <f>'Обобщенный расчет'!$I13*E$7*E$8</f>
        <v>22821.359223300973</v>
      </c>
      <c r="F18" s="49">
        <f>'Обобщенный расчет'!$I13*F$7*F$8</f>
        <v>19255.521844660194</v>
      </c>
      <c r="G18" s="49">
        <f>'Обобщенный расчет'!$I13*G$7*G$8</f>
        <v>20681.856796116503</v>
      </c>
      <c r="H18" s="49">
        <f>'Обобщенный расчет'!$I13*H$7*H$8</f>
        <v>16402.851941747576</v>
      </c>
      <c r="I18" s="49">
        <f>'Обобщенный расчет'!$I13*I$7*I$8</f>
        <v>17116.019417475727</v>
      </c>
      <c r="J18" s="49">
        <f>'Обобщенный расчет'!$I13*J$7*J$8</f>
        <v>19255.521844660194</v>
      </c>
      <c r="K18" s="49">
        <f>'Обобщенный расчет'!$I13*K$7*K$8</f>
        <v>19255.521844660194</v>
      </c>
      <c r="L18" s="49">
        <f>'Обобщенный расчет'!$I13*L$7*L$8</f>
        <v>16402.851941747576</v>
      </c>
      <c r="M18" s="49">
        <f>'Обобщенный расчет'!$I13*M$7*M$8</f>
        <v>18542.35436893204</v>
      </c>
      <c r="N18" s="49">
        <f>'Обобщенный расчет'!$I13*N$7*N$8</f>
        <v>17116.019417475727</v>
      </c>
      <c r="O18" s="49">
        <f>'Обобщенный расчет'!$I13*O$7*O$8</f>
        <v>16402.851941747576</v>
      </c>
      <c r="P18" s="79">
        <f t="shared" si="15"/>
        <v>220368.75</v>
      </c>
      <c r="Q18" s="79">
        <f t="shared" si="16"/>
        <v>18364.0625</v>
      </c>
      <c r="R18" s="49">
        <f>'Обобщенный расчет'!$I13*R$7*R$8</f>
        <v>17116.019417475727</v>
      </c>
      <c r="S18" s="49">
        <f>'Обобщенный расчет'!$I13*S$7*S$8</f>
        <v>22821.359223300973</v>
      </c>
      <c r="T18" s="49">
        <f>'Обобщенный расчет'!$I13*T$7*T$8</f>
        <v>19255.521844660194</v>
      </c>
      <c r="U18" s="49">
        <f>'Обобщенный расчет'!$I13*U$7*U$8</f>
        <v>20681.856796116503</v>
      </c>
      <c r="V18" s="49">
        <f>'Обобщенный расчет'!$I13*V$7*V$8</f>
        <v>16402.851941747576</v>
      </c>
      <c r="W18" s="49">
        <f>'Обобщенный расчет'!$I13*W$7*W$8</f>
        <v>17116.019417475727</v>
      </c>
      <c r="X18" s="49">
        <f>'Обобщенный расчет'!$I13*X$7*X$8</f>
        <v>19255.521844660194</v>
      </c>
      <c r="Y18" s="49">
        <f>'Обобщенный расчет'!$I13*Y$7*Y$8</f>
        <v>19255.521844660194</v>
      </c>
      <c r="Z18" s="49">
        <f>'Обобщенный расчет'!$I13*Z$7*Z$8</f>
        <v>16402.851941747576</v>
      </c>
      <c r="AA18" s="49">
        <f>'Обобщенный расчет'!$I13*AA$7*AA$8</f>
        <v>18542.35436893204</v>
      </c>
      <c r="AB18" s="49">
        <f>'Обобщенный расчет'!$I13*AB$7*AB$8</f>
        <v>17116.019417475727</v>
      </c>
      <c r="AC18" s="49">
        <f>'Обобщенный расчет'!$I13*AC$7*AC$8</f>
        <v>16402.851941747576</v>
      </c>
      <c r="AD18" s="79">
        <f t="shared" si="17"/>
        <v>220368.75</v>
      </c>
      <c r="AE18" s="79">
        <f t="shared" si="18"/>
        <v>18364.0625</v>
      </c>
      <c r="AF18" s="49">
        <f>'Обобщенный расчет'!$I13*AF$7*AF$8</f>
        <v>17116.019417475727</v>
      </c>
      <c r="AG18" s="49">
        <f>'Обобщенный расчет'!$I13*AG$7*AG$8</f>
        <v>22821.359223300973</v>
      </c>
      <c r="AH18" s="49">
        <f>'Обобщенный расчет'!$I13*AH$7*AH$8</f>
        <v>19255.521844660194</v>
      </c>
      <c r="AI18" s="49">
        <f>'Обобщенный расчет'!$I13*AI$7*AI$8</f>
        <v>20681.856796116503</v>
      </c>
      <c r="AJ18" s="49">
        <f>'Обобщенный расчет'!$I13*AJ$7*AJ$8</f>
        <v>16402.851941747576</v>
      </c>
      <c r="AK18" s="49">
        <f>'Обобщенный расчет'!$I13*AK$7*AK$8</f>
        <v>17116.019417475727</v>
      </c>
      <c r="AL18" s="49">
        <f>'Обобщенный расчет'!$I13*AL$7*AL$8</f>
        <v>19255.521844660194</v>
      </c>
      <c r="AM18" s="49">
        <f>'Обобщенный расчет'!$I13*AM$7*AM$8</f>
        <v>19255.521844660194</v>
      </c>
      <c r="AN18" s="49">
        <f>'Обобщенный расчет'!$I13*AN$7*AN$8</f>
        <v>16402.851941747576</v>
      </c>
      <c r="AO18" s="49">
        <f>'Обобщенный расчет'!$I13*AO$7*AO$8</f>
        <v>18542.35436893204</v>
      </c>
      <c r="AP18" s="49">
        <f>'Обобщенный расчет'!$I13*AP$7*AP$8</f>
        <v>17116.019417475727</v>
      </c>
      <c r="AQ18" s="49">
        <f>'Обобщенный расчет'!$I13*AQ$7*AQ$8</f>
        <v>16402.851941747576</v>
      </c>
      <c r="AR18" s="79">
        <f t="shared" si="19"/>
        <v>220368.75</v>
      </c>
      <c r="AS18" s="79">
        <f t="shared" si="20"/>
        <v>18364.0625</v>
      </c>
      <c r="AT18" s="79">
        <f t="shared" si="21"/>
        <v>661106.25</v>
      </c>
      <c r="AU18" s="39"/>
    </row>
    <row r="19" spans="1:47" s="29" customFormat="1" ht="11.25">
      <c r="A19" s="32" t="str">
        <f>'Обобщенный расчет'!B14</f>
        <v>Десерты</v>
      </c>
      <c r="B19" s="33" t="s">
        <v>105</v>
      </c>
      <c r="C19" s="33"/>
      <c r="D19" s="46">
        <f>'Обобщенный расчет'!$I14*D$7*D$8</f>
        <v>42790.048543689321</v>
      </c>
      <c r="E19" s="46">
        <f>'Обобщенный расчет'!$I14*E$7*E$8</f>
        <v>57053.398058252431</v>
      </c>
      <c r="F19" s="46">
        <f>'Обобщенный расчет'!$I14*F$7*F$8</f>
        <v>48138.804611650485</v>
      </c>
      <c r="G19" s="46">
        <f>'Обобщенный расчет'!$I14*G$7*G$8</f>
        <v>51704.64199029126</v>
      </c>
      <c r="H19" s="46">
        <f>'Обобщенный расчет'!$I14*H$7*H$8</f>
        <v>41007.129854368934</v>
      </c>
      <c r="I19" s="46">
        <f>'Обобщенный расчет'!$I14*I$7*I$8</f>
        <v>42790.048543689321</v>
      </c>
      <c r="J19" s="46">
        <f>'Обобщенный расчет'!$I14*J$7*J$8</f>
        <v>48138.804611650485</v>
      </c>
      <c r="K19" s="46">
        <f>'Обобщенный расчет'!$I14*K$7*K$8</f>
        <v>48138.804611650485</v>
      </c>
      <c r="L19" s="46">
        <f>'Обобщенный расчет'!$I14*L$7*L$8</f>
        <v>41007.129854368934</v>
      </c>
      <c r="M19" s="46">
        <f>'Обобщенный расчет'!$I14*M$7*M$8</f>
        <v>46355.885922330104</v>
      </c>
      <c r="N19" s="46">
        <f>'Обобщенный расчет'!$I14*N$7*N$8</f>
        <v>42790.048543689321</v>
      </c>
      <c r="O19" s="46">
        <f>'Обобщенный расчет'!$I14*O$7*O$8</f>
        <v>41007.129854368934</v>
      </c>
      <c r="P19" s="185">
        <f t="shared" si="15"/>
        <v>550921.87499999988</v>
      </c>
      <c r="Q19" s="185">
        <f t="shared" si="16"/>
        <v>45910.156249999993</v>
      </c>
      <c r="R19" s="46">
        <f>'Обобщенный расчет'!$I14*R$7*R$8</f>
        <v>42790.048543689321</v>
      </c>
      <c r="S19" s="46">
        <f>'Обобщенный расчет'!$I14*S$7*S$8</f>
        <v>57053.398058252431</v>
      </c>
      <c r="T19" s="46">
        <f>'Обобщенный расчет'!$I14*T$7*T$8</f>
        <v>48138.804611650485</v>
      </c>
      <c r="U19" s="46">
        <f>'Обобщенный расчет'!$I14*U$7*U$8</f>
        <v>51704.64199029126</v>
      </c>
      <c r="V19" s="46">
        <f>'Обобщенный расчет'!$I14*V$7*V$8</f>
        <v>41007.129854368934</v>
      </c>
      <c r="W19" s="46">
        <f>'Обобщенный расчет'!$I14*W$7*W$8</f>
        <v>42790.048543689321</v>
      </c>
      <c r="X19" s="46">
        <f>'Обобщенный расчет'!$I14*X$7*X$8</f>
        <v>48138.804611650485</v>
      </c>
      <c r="Y19" s="46">
        <f>'Обобщенный расчет'!$I14*Y$7*Y$8</f>
        <v>48138.804611650485</v>
      </c>
      <c r="Z19" s="46">
        <f>'Обобщенный расчет'!$I14*Z$7*Z$8</f>
        <v>41007.129854368934</v>
      </c>
      <c r="AA19" s="46">
        <f>'Обобщенный расчет'!$I14*AA$7*AA$8</f>
        <v>46355.885922330104</v>
      </c>
      <c r="AB19" s="46">
        <f>'Обобщенный расчет'!$I14*AB$7*AB$8</f>
        <v>42790.048543689321</v>
      </c>
      <c r="AC19" s="46">
        <f>'Обобщенный расчет'!$I14*AC$7*AC$8</f>
        <v>41007.129854368934</v>
      </c>
      <c r="AD19" s="185">
        <f t="shared" si="17"/>
        <v>550921.87499999988</v>
      </c>
      <c r="AE19" s="185">
        <f t="shared" si="18"/>
        <v>45910.156249999993</v>
      </c>
      <c r="AF19" s="46">
        <f>'Обобщенный расчет'!$I14*AF$7*AF$8</f>
        <v>42790.048543689321</v>
      </c>
      <c r="AG19" s="46">
        <f>'Обобщенный расчет'!$I14*AG$7*AG$8</f>
        <v>57053.398058252431</v>
      </c>
      <c r="AH19" s="46">
        <f>'Обобщенный расчет'!$I14*AH$7*AH$8</f>
        <v>48138.804611650485</v>
      </c>
      <c r="AI19" s="46">
        <f>'Обобщенный расчет'!$I14*AI$7*AI$8</f>
        <v>51704.64199029126</v>
      </c>
      <c r="AJ19" s="46">
        <f>'Обобщенный расчет'!$I14*AJ$7*AJ$8</f>
        <v>41007.129854368934</v>
      </c>
      <c r="AK19" s="46">
        <f>'Обобщенный расчет'!$I14*AK$7*AK$8</f>
        <v>42790.048543689321</v>
      </c>
      <c r="AL19" s="46">
        <f>'Обобщенный расчет'!$I14*AL$7*AL$8</f>
        <v>48138.804611650485</v>
      </c>
      <c r="AM19" s="46">
        <f>'Обобщенный расчет'!$I14*AM$7*AM$8</f>
        <v>48138.804611650485</v>
      </c>
      <c r="AN19" s="46">
        <f>'Обобщенный расчет'!$I14*AN$7*AN$8</f>
        <v>41007.129854368934</v>
      </c>
      <c r="AO19" s="46">
        <f>'Обобщенный расчет'!$I14*AO$7*AO$8</f>
        <v>46355.885922330104</v>
      </c>
      <c r="AP19" s="46">
        <f>'Обобщенный расчет'!$I14*AP$7*AP$8</f>
        <v>42790.048543689321</v>
      </c>
      <c r="AQ19" s="46">
        <f>'Обобщенный расчет'!$I14*AQ$7*AQ$8</f>
        <v>41007.129854368934</v>
      </c>
      <c r="AR19" s="185">
        <f t="shared" si="19"/>
        <v>550921.87499999988</v>
      </c>
      <c r="AS19" s="185">
        <f t="shared" si="20"/>
        <v>45910.156249999993</v>
      </c>
      <c r="AT19" s="185">
        <f t="shared" si="21"/>
        <v>1652765.6249999995</v>
      </c>
      <c r="AU19" s="35"/>
    </row>
    <row r="20" spans="1:47" s="40" customFormat="1" ht="11.25">
      <c r="A20" s="36" t="str">
        <f>'Обобщенный расчет'!B15</f>
        <v>Гарниры/Фри</v>
      </c>
      <c r="B20" s="37" t="s">
        <v>105</v>
      </c>
      <c r="C20" s="37"/>
      <c r="D20" s="49">
        <f>'Обобщенный расчет'!$I15*D$7*D$8</f>
        <v>359436.40776699031</v>
      </c>
      <c r="E20" s="49">
        <f>'Обобщенный расчет'!$I15*E$7*E$8</f>
        <v>479248.54368932039</v>
      </c>
      <c r="F20" s="49">
        <f>'Обобщенный расчет'!$I15*F$7*F$8</f>
        <v>404365.95873786404</v>
      </c>
      <c r="G20" s="49">
        <f>'Обобщенный расчет'!$I15*G$7*G$8</f>
        <v>434318.99271844659</v>
      </c>
      <c r="H20" s="49">
        <f>'Обобщенный расчет'!$I15*H$7*H$8</f>
        <v>344459.89077669906</v>
      </c>
      <c r="I20" s="49">
        <f>'Обобщенный расчет'!$I15*I$7*I$8</f>
        <v>359436.40776699031</v>
      </c>
      <c r="J20" s="49">
        <f>'Обобщенный расчет'!$I15*J$7*J$8</f>
        <v>404365.95873786404</v>
      </c>
      <c r="K20" s="49">
        <f>'Обобщенный расчет'!$I15*K$7*K$8</f>
        <v>404365.95873786404</v>
      </c>
      <c r="L20" s="49">
        <f>'Обобщенный расчет'!$I15*L$7*L$8</f>
        <v>344459.89077669906</v>
      </c>
      <c r="M20" s="49">
        <f>'Обобщенный расчет'!$I15*M$7*M$8</f>
        <v>389389.44174757286</v>
      </c>
      <c r="N20" s="49">
        <f>'Обобщенный расчет'!$I15*N$7*N$8</f>
        <v>359436.40776699031</v>
      </c>
      <c r="O20" s="49">
        <f>'Обобщенный расчет'!$I15*O$7*O$8</f>
        <v>344459.89077669906</v>
      </c>
      <c r="P20" s="79">
        <f t="shared" si="15"/>
        <v>4627743.75</v>
      </c>
      <c r="Q20" s="79">
        <f t="shared" si="16"/>
        <v>385645.3125</v>
      </c>
      <c r="R20" s="49">
        <f>'Обобщенный расчет'!$I15*R$7*R$8</f>
        <v>359436.40776699031</v>
      </c>
      <c r="S20" s="49">
        <f>'Обобщенный расчет'!$I15*S$7*S$8</f>
        <v>479248.54368932039</v>
      </c>
      <c r="T20" s="49">
        <f>'Обобщенный расчет'!$I15*T$7*T$8</f>
        <v>404365.95873786404</v>
      </c>
      <c r="U20" s="49">
        <f>'Обобщенный расчет'!$I15*U$7*U$8</f>
        <v>434318.99271844659</v>
      </c>
      <c r="V20" s="49">
        <f>'Обобщенный расчет'!$I15*V$7*V$8</f>
        <v>344459.89077669906</v>
      </c>
      <c r="W20" s="49">
        <f>'Обобщенный расчет'!$I15*W$7*W$8</f>
        <v>359436.40776699031</v>
      </c>
      <c r="X20" s="49">
        <f>'Обобщенный расчет'!$I15*X$7*X$8</f>
        <v>404365.95873786404</v>
      </c>
      <c r="Y20" s="49">
        <f>'Обобщенный расчет'!$I15*Y$7*Y$8</f>
        <v>404365.95873786404</v>
      </c>
      <c r="Z20" s="49">
        <f>'Обобщенный расчет'!$I15*Z$7*Z$8</f>
        <v>344459.89077669906</v>
      </c>
      <c r="AA20" s="49">
        <f>'Обобщенный расчет'!$I15*AA$7*AA$8</f>
        <v>389389.44174757286</v>
      </c>
      <c r="AB20" s="49">
        <f>'Обобщенный расчет'!$I15*AB$7*AB$8</f>
        <v>359436.40776699031</v>
      </c>
      <c r="AC20" s="49">
        <f>'Обобщенный расчет'!$I15*AC$7*AC$8</f>
        <v>344459.89077669906</v>
      </c>
      <c r="AD20" s="79">
        <f t="shared" si="17"/>
        <v>4627743.75</v>
      </c>
      <c r="AE20" s="79">
        <f t="shared" si="18"/>
        <v>385645.3125</v>
      </c>
      <c r="AF20" s="49">
        <f>'Обобщенный расчет'!$I15*AF$7*AF$8</f>
        <v>359436.40776699031</v>
      </c>
      <c r="AG20" s="49">
        <f>'Обобщенный расчет'!$I15*AG$7*AG$8</f>
        <v>479248.54368932039</v>
      </c>
      <c r="AH20" s="49">
        <f>'Обобщенный расчет'!$I15*AH$7*AH$8</f>
        <v>404365.95873786404</v>
      </c>
      <c r="AI20" s="49">
        <f>'Обобщенный расчет'!$I15*AI$7*AI$8</f>
        <v>434318.99271844659</v>
      </c>
      <c r="AJ20" s="49">
        <f>'Обобщенный расчет'!$I15*AJ$7*AJ$8</f>
        <v>344459.89077669906</v>
      </c>
      <c r="AK20" s="49">
        <f>'Обобщенный расчет'!$I15*AK$7*AK$8</f>
        <v>359436.40776699031</v>
      </c>
      <c r="AL20" s="49">
        <f>'Обобщенный расчет'!$I15*AL$7*AL$8</f>
        <v>404365.95873786404</v>
      </c>
      <c r="AM20" s="49">
        <f>'Обобщенный расчет'!$I15*AM$7*AM$8</f>
        <v>404365.95873786404</v>
      </c>
      <c r="AN20" s="49">
        <f>'Обобщенный расчет'!$I15*AN$7*AN$8</f>
        <v>344459.89077669906</v>
      </c>
      <c r="AO20" s="49">
        <f>'Обобщенный расчет'!$I15*AO$7*AO$8</f>
        <v>389389.44174757286</v>
      </c>
      <c r="AP20" s="49">
        <f>'Обобщенный расчет'!$I15*AP$7*AP$8</f>
        <v>359436.40776699031</v>
      </c>
      <c r="AQ20" s="49">
        <f>'Обобщенный расчет'!$I15*AQ$7*AQ$8</f>
        <v>344459.89077669906</v>
      </c>
      <c r="AR20" s="79">
        <f t="shared" si="19"/>
        <v>4627743.75</v>
      </c>
      <c r="AS20" s="79">
        <f t="shared" si="20"/>
        <v>385645.3125</v>
      </c>
      <c r="AT20" s="79">
        <f t="shared" si="21"/>
        <v>13883231.25</v>
      </c>
      <c r="AU20" s="39"/>
    </row>
    <row r="21" spans="1:47" s="29" customFormat="1" ht="11.25">
      <c r="A21" s="32" t="str">
        <f>'Обобщенный расчет'!B16</f>
        <v>Наборы, сеты</v>
      </c>
      <c r="B21" s="33" t="s">
        <v>105</v>
      </c>
      <c r="C21" s="33"/>
      <c r="D21" s="46">
        <f>'Обобщенный расчет'!$I16*D$7*D$8</f>
        <v>273856.31067961163</v>
      </c>
      <c r="E21" s="46">
        <f>'Обобщенный расчет'!$I16*E$7*E$8</f>
        <v>365141.74757281557</v>
      </c>
      <c r="F21" s="46">
        <f>'Обобщенный расчет'!$I16*F$7*F$8</f>
        <v>308088.3495145631</v>
      </c>
      <c r="G21" s="46">
        <f>'Обобщенный расчет'!$I16*G$7*G$8</f>
        <v>330909.70873786404</v>
      </c>
      <c r="H21" s="46">
        <f>'Обобщенный расчет'!$I16*H$7*H$8</f>
        <v>262445.63106796122</v>
      </c>
      <c r="I21" s="46">
        <f>'Обобщенный расчет'!$I16*I$7*I$8</f>
        <v>273856.31067961163</v>
      </c>
      <c r="J21" s="46">
        <f>'Обобщенный расчет'!$I16*J$7*J$8</f>
        <v>308088.3495145631</v>
      </c>
      <c r="K21" s="46">
        <f>'Обобщенный расчет'!$I16*K$7*K$8</f>
        <v>308088.3495145631</v>
      </c>
      <c r="L21" s="46">
        <f>'Обобщенный расчет'!$I16*L$7*L$8</f>
        <v>262445.63106796122</v>
      </c>
      <c r="M21" s="46">
        <f>'Обобщенный расчет'!$I16*M$7*M$8</f>
        <v>296677.66990291263</v>
      </c>
      <c r="N21" s="46">
        <f>'Обобщенный расчет'!$I16*N$7*N$8</f>
        <v>273856.31067961163</v>
      </c>
      <c r="O21" s="46">
        <f>'Обобщенный расчет'!$I16*O$7*O$8</f>
        <v>262445.63106796122</v>
      </c>
      <c r="P21" s="185">
        <f t="shared" si="15"/>
        <v>3525900</v>
      </c>
      <c r="Q21" s="185">
        <f t="shared" si="16"/>
        <v>293825</v>
      </c>
      <c r="R21" s="46">
        <f>'Обобщенный расчет'!$I16*R$7*R$8</f>
        <v>273856.31067961163</v>
      </c>
      <c r="S21" s="46">
        <f>'Обобщенный расчет'!$I16*S$7*S$8</f>
        <v>365141.74757281557</v>
      </c>
      <c r="T21" s="46">
        <f>'Обобщенный расчет'!$I16*T$7*T$8</f>
        <v>308088.3495145631</v>
      </c>
      <c r="U21" s="46">
        <f>'Обобщенный расчет'!$I16*U$7*U$8</f>
        <v>330909.70873786404</v>
      </c>
      <c r="V21" s="46">
        <f>'Обобщенный расчет'!$I16*V$7*V$8</f>
        <v>262445.63106796122</v>
      </c>
      <c r="W21" s="46">
        <f>'Обобщенный расчет'!$I16*W$7*W$8</f>
        <v>273856.31067961163</v>
      </c>
      <c r="X21" s="46">
        <f>'Обобщенный расчет'!$I16*X$7*X$8</f>
        <v>308088.3495145631</v>
      </c>
      <c r="Y21" s="46">
        <f>'Обобщенный расчет'!$I16*Y$7*Y$8</f>
        <v>308088.3495145631</v>
      </c>
      <c r="Z21" s="46">
        <f>'Обобщенный расчет'!$I16*Z$7*Z$8</f>
        <v>262445.63106796122</v>
      </c>
      <c r="AA21" s="46">
        <f>'Обобщенный расчет'!$I16*AA$7*AA$8</f>
        <v>296677.66990291263</v>
      </c>
      <c r="AB21" s="46">
        <f>'Обобщенный расчет'!$I16*AB$7*AB$8</f>
        <v>273856.31067961163</v>
      </c>
      <c r="AC21" s="46">
        <f>'Обобщенный расчет'!$I16*AC$7*AC$8</f>
        <v>262445.63106796122</v>
      </c>
      <c r="AD21" s="185">
        <f t="shared" si="17"/>
        <v>3525900</v>
      </c>
      <c r="AE21" s="185">
        <f t="shared" si="18"/>
        <v>293825</v>
      </c>
      <c r="AF21" s="46">
        <f>'Обобщенный расчет'!$I16*AF$7*AF$8</f>
        <v>273856.31067961163</v>
      </c>
      <c r="AG21" s="46">
        <f>'Обобщенный расчет'!$I16*AG$7*AG$8</f>
        <v>365141.74757281557</v>
      </c>
      <c r="AH21" s="46">
        <f>'Обобщенный расчет'!$I16*AH$7*AH$8</f>
        <v>308088.3495145631</v>
      </c>
      <c r="AI21" s="46">
        <f>'Обобщенный расчет'!$I16*AI$7*AI$8</f>
        <v>330909.70873786404</v>
      </c>
      <c r="AJ21" s="46">
        <f>'Обобщенный расчет'!$I16*AJ$7*AJ$8</f>
        <v>262445.63106796122</v>
      </c>
      <c r="AK21" s="46">
        <f>'Обобщенный расчет'!$I16*AK$7*AK$8</f>
        <v>273856.31067961163</v>
      </c>
      <c r="AL21" s="46">
        <f>'Обобщенный расчет'!$I16*AL$7*AL$8</f>
        <v>308088.3495145631</v>
      </c>
      <c r="AM21" s="46">
        <f>'Обобщенный расчет'!$I16*AM$7*AM$8</f>
        <v>308088.3495145631</v>
      </c>
      <c r="AN21" s="46">
        <f>'Обобщенный расчет'!$I16*AN$7*AN$8</f>
        <v>262445.63106796122</v>
      </c>
      <c r="AO21" s="46">
        <f>'Обобщенный расчет'!$I16*AO$7*AO$8</f>
        <v>296677.66990291263</v>
      </c>
      <c r="AP21" s="46">
        <f>'Обобщенный расчет'!$I16*AP$7*AP$8</f>
        <v>273856.31067961163</v>
      </c>
      <c r="AQ21" s="46">
        <f>'Обобщенный расчет'!$I16*AQ$7*AQ$8</f>
        <v>262445.63106796122</v>
      </c>
      <c r="AR21" s="185">
        <f t="shared" si="19"/>
        <v>3525900</v>
      </c>
      <c r="AS21" s="185">
        <f t="shared" si="20"/>
        <v>293825</v>
      </c>
      <c r="AT21" s="185">
        <f t="shared" si="21"/>
        <v>10577700</v>
      </c>
      <c r="AU21" s="35"/>
    </row>
    <row r="22" spans="1:47" s="40" customFormat="1" ht="11.25">
      <c r="A22" s="265" t="str">
        <f>'Обобщенный расчет'!B17</f>
        <v>Пиво</v>
      </c>
      <c r="B22" s="266" t="s">
        <v>105</v>
      </c>
      <c r="C22" s="266"/>
      <c r="D22" s="267">
        <f>'Обобщенный расчет'!$I17*D$7*D$8</f>
        <v>51348.058252427181</v>
      </c>
      <c r="E22" s="267">
        <f>'Обобщенный расчет'!$I17*E$7*E$8</f>
        <v>68464.077669902923</v>
      </c>
      <c r="F22" s="267">
        <f>'Обобщенный расчет'!$I17*F$7*F$8</f>
        <v>57766.565533980582</v>
      </c>
      <c r="G22" s="267">
        <f>'Обобщенный расчет'!$I17*G$7*G$8</f>
        <v>62045.570388349515</v>
      </c>
      <c r="H22" s="267">
        <f>'Обобщенный расчет'!$I17*H$7*H$8</f>
        <v>49208.555825242722</v>
      </c>
      <c r="I22" s="267">
        <f>'Обобщенный расчет'!$I17*I$7*I$8</f>
        <v>51348.058252427181</v>
      </c>
      <c r="J22" s="267">
        <f>'Обобщенный расчет'!$I17*J$7*J$8</f>
        <v>57766.565533980582</v>
      </c>
      <c r="K22" s="267">
        <f>'Обобщенный расчет'!$I17*K$7*K$8</f>
        <v>57766.565533980582</v>
      </c>
      <c r="L22" s="267">
        <f>'Обобщенный расчет'!$I17*L$7*L$8</f>
        <v>49208.555825242722</v>
      </c>
      <c r="M22" s="267">
        <f>'Обобщенный расчет'!$I17*M$7*M$8</f>
        <v>55627.063106796122</v>
      </c>
      <c r="N22" s="267">
        <f>'Обобщенный расчет'!$I17*N$7*N$8</f>
        <v>51348.058252427181</v>
      </c>
      <c r="O22" s="267">
        <f>'Обобщенный расчет'!$I17*O$7*O$8</f>
        <v>49208.555825242722</v>
      </c>
      <c r="P22" s="268">
        <f t="shared" si="15"/>
        <v>661106.25000000012</v>
      </c>
      <c r="Q22" s="268">
        <f t="shared" si="16"/>
        <v>55092.187500000007</v>
      </c>
      <c r="R22" s="267">
        <f>'Обобщенный расчет'!$I17*R$7*R$8</f>
        <v>51348.058252427181</v>
      </c>
      <c r="S22" s="267">
        <f>'Обобщенный расчет'!$I17*S$7*S$8</f>
        <v>68464.077669902923</v>
      </c>
      <c r="T22" s="267">
        <f>'Обобщенный расчет'!$I17*T$7*T$8</f>
        <v>57766.565533980582</v>
      </c>
      <c r="U22" s="267">
        <f>'Обобщенный расчет'!$I17*U$7*U$8</f>
        <v>62045.570388349515</v>
      </c>
      <c r="V22" s="267">
        <f>'Обобщенный расчет'!$I17*V$7*V$8</f>
        <v>49208.555825242722</v>
      </c>
      <c r="W22" s="267">
        <f>'Обобщенный расчет'!$I17*W$7*W$8</f>
        <v>51348.058252427181</v>
      </c>
      <c r="X22" s="267">
        <f>'Обобщенный расчет'!$I17*X$7*X$8</f>
        <v>57766.565533980582</v>
      </c>
      <c r="Y22" s="267">
        <f>'Обобщенный расчет'!$I17*Y$7*Y$8</f>
        <v>57766.565533980582</v>
      </c>
      <c r="Z22" s="267">
        <f>'Обобщенный расчет'!$I17*Z$7*Z$8</f>
        <v>49208.555825242722</v>
      </c>
      <c r="AA22" s="267">
        <f>'Обобщенный расчет'!$I17*AA$7*AA$8</f>
        <v>55627.063106796122</v>
      </c>
      <c r="AB22" s="267">
        <f>'Обобщенный расчет'!$I17*AB$7*AB$8</f>
        <v>51348.058252427181</v>
      </c>
      <c r="AC22" s="267">
        <f>'Обобщенный расчет'!$I17*AC$7*AC$8</f>
        <v>49208.555825242722</v>
      </c>
      <c r="AD22" s="268">
        <f t="shared" si="17"/>
        <v>661106.25000000012</v>
      </c>
      <c r="AE22" s="268">
        <f t="shared" si="18"/>
        <v>55092.187500000007</v>
      </c>
      <c r="AF22" s="267">
        <f>'Обобщенный расчет'!$I17*AF$7*AF$8</f>
        <v>51348.058252427181</v>
      </c>
      <c r="AG22" s="267">
        <f>'Обобщенный расчет'!$I17*AG$7*AG$8</f>
        <v>68464.077669902923</v>
      </c>
      <c r="AH22" s="267">
        <f>'Обобщенный расчет'!$I17*AH$7*AH$8</f>
        <v>57766.565533980582</v>
      </c>
      <c r="AI22" s="267">
        <f>'Обобщенный расчет'!$I17*AI$7*AI$8</f>
        <v>62045.570388349515</v>
      </c>
      <c r="AJ22" s="267">
        <f>'Обобщенный расчет'!$I17*AJ$7*AJ$8</f>
        <v>49208.555825242722</v>
      </c>
      <c r="AK22" s="267">
        <f>'Обобщенный расчет'!$I17*AK$7*AK$8</f>
        <v>51348.058252427181</v>
      </c>
      <c r="AL22" s="267">
        <f>'Обобщенный расчет'!$I17*AL$7*AL$8</f>
        <v>57766.565533980582</v>
      </c>
      <c r="AM22" s="267">
        <f>'Обобщенный расчет'!$I17*AM$7*AM$8</f>
        <v>57766.565533980582</v>
      </c>
      <c r="AN22" s="267">
        <f>'Обобщенный расчет'!$I17*AN$7*AN$8</f>
        <v>49208.555825242722</v>
      </c>
      <c r="AO22" s="267">
        <f>'Обобщенный расчет'!$I17*AO$7*AO$8</f>
        <v>55627.063106796122</v>
      </c>
      <c r="AP22" s="267">
        <f>'Обобщенный расчет'!$I17*AP$7*AP$8</f>
        <v>51348.058252427181</v>
      </c>
      <c r="AQ22" s="267">
        <f>'Обобщенный расчет'!$I17*AQ$7*AQ$8</f>
        <v>49208.555825242722</v>
      </c>
      <c r="AR22" s="268">
        <f t="shared" si="19"/>
        <v>661106.25000000012</v>
      </c>
      <c r="AS22" s="268">
        <f t="shared" si="20"/>
        <v>55092.187500000007</v>
      </c>
      <c r="AT22" s="268">
        <f t="shared" si="21"/>
        <v>1983318.7500000005</v>
      </c>
      <c r="AU22" s="39"/>
    </row>
    <row r="23" spans="1:47" s="40" customFormat="1" ht="11.25">
      <c r="A23" s="52" t="s">
        <v>167</v>
      </c>
      <c r="B23" s="37" t="s">
        <v>105</v>
      </c>
      <c r="C23" s="37"/>
      <c r="D23" s="49">
        <f>SUM(D15:D22)</f>
        <v>1703043.9320388352</v>
      </c>
      <c r="E23" s="49">
        <f t="shared" ref="E23:O23" si="22">SUM(E15:E22)</f>
        <v>2270725.2427184465</v>
      </c>
      <c r="F23" s="49">
        <f t="shared" si="22"/>
        <v>1915924.4235436891</v>
      </c>
      <c r="G23" s="49">
        <f t="shared" si="22"/>
        <v>2057844.7512135922</v>
      </c>
      <c r="H23" s="49">
        <f t="shared" si="22"/>
        <v>1632083.7682038837</v>
      </c>
      <c r="I23" s="49">
        <f t="shared" si="22"/>
        <v>1703043.9320388352</v>
      </c>
      <c r="J23" s="49">
        <f t="shared" si="22"/>
        <v>1915924.4235436891</v>
      </c>
      <c r="K23" s="49">
        <f t="shared" si="22"/>
        <v>1915924.4235436891</v>
      </c>
      <c r="L23" s="49">
        <f t="shared" si="22"/>
        <v>1632083.7682038837</v>
      </c>
      <c r="M23" s="49">
        <f t="shared" si="22"/>
        <v>1844964.259708738</v>
      </c>
      <c r="N23" s="49">
        <f t="shared" si="22"/>
        <v>1703043.9320388352</v>
      </c>
      <c r="O23" s="49">
        <f t="shared" si="22"/>
        <v>1632083.7682038837</v>
      </c>
      <c r="P23" s="79">
        <f t="shared" si="15"/>
        <v>21926690.625000007</v>
      </c>
      <c r="Q23" s="79">
        <f t="shared" si="16"/>
        <v>1827224.2187500007</v>
      </c>
      <c r="R23" s="49">
        <f>SUM(R15:R22)</f>
        <v>1703043.9320388352</v>
      </c>
      <c r="S23" s="49">
        <f t="shared" ref="S23" si="23">SUM(S15:S22)</f>
        <v>2270725.2427184465</v>
      </c>
      <c r="T23" s="49">
        <f t="shared" ref="T23" si="24">SUM(T15:T22)</f>
        <v>1915924.4235436891</v>
      </c>
      <c r="U23" s="49">
        <f t="shared" ref="U23" si="25">SUM(U15:U22)</f>
        <v>2057844.7512135922</v>
      </c>
      <c r="V23" s="49">
        <f t="shared" ref="V23" si="26">SUM(V15:V22)</f>
        <v>1632083.7682038837</v>
      </c>
      <c r="W23" s="49">
        <f t="shared" ref="W23" si="27">SUM(W15:W22)</f>
        <v>1703043.9320388352</v>
      </c>
      <c r="X23" s="49">
        <f t="shared" ref="X23" si="28">SUM(X15:X22)</f>
        <v>1915924.4235436891</v>
      </c>
      <c r="Y23" s="49">
        <f t="shared" ref="Y23" si="29">SUM(Y15:Y22)</f>
        <v>1915924.4235436891</v>
      </c>
      <c r="Z23" s="49">
        <f t="shared" ref="Z23" si="30">SUM(Z15:Z22)</f>
        <v>1632083.7682038837</v>
      </c>
      <c r="AA23" s="49">
        <f t="shared" ref="AA23" si="31">SUM(AA15:AA22)</f>
        <v>1844964.259708738</v>
      </c>
      <c r="AB23" s="49">
        <f t="shared" ref="AB23" si="32">SUM(AB15:AB22)</f>
        <v>1703043.9320388352</v>
      </c>
      <c r="AC23" s="49">
        <f t="shared" ref="AC23" si="33">SUM(AC15:AC22)</f>
        <v>1632083.7682038837</v>
      </c>
      <c r="AD23" s="79">
        <f t="shared" si="17"/>
        <v>21926690.625000007</v>
      </c>
      <c r="AE23" s="79">
        <f t="shared" si="18"/>
        <v>1827224.2187500007</v>
      </c>
      <c r="AF23" s="49">
        <f>SUM(AF15:AF22)</f>
        <v>1703043.9320388352</v>
      </c>
      <c r="AG23" s="49">
        <f t="shared" ref="AG23" si="34">SUM(AG15:AG22)</f>
        <v>2270725.2427184465</v>
      </c>
      <c r="AH23" s="49">
        <f t="shared" ref="AH23" si="35">SUM(AH15:AH22)</f>
        <v>1915924.4235436891</v>
      </c>
      <c r="AI23" s="49">
        <f t="shared" ref="AI23" si="36">SUM(AI15:AI22)</f>
        <v>2057844.7512135922</v>
      </c>
      <c r="AJ23" s="49">
        <f t="shared" ref="AJ23" si="37">SUM(AJ15:AJ22)</f>
        <v>1632083.7682038837</v>
      </c>
      <c r="AK23" s="49">
        <f t="shared" ref="AK23" si="38">SUM(AK15:AK22)</f>
        <v>1703043.9320388352</v>
      </c>
      <c r="AL23" s="49">
        <f t="shared" ref="AL23" si="39">SUM(AL15:AL22)</f>
        <v>1915924.4235436891</v>
      </c>
      <c r="AM23" s="49">
        <f t="shared" ref="AM23" si="40">SUM(AM15:AM22)</f>
        <v>1915924.4235436891</v>
      </c>
      <c r="AN23" s="49">
        <f t="shared" ref="AN23" si="41">SUM(AN15:AN22)</f>
        <v>1632083.7682038837</v>
      </c>
      <c r="AO23" s="49">
        <f t="shared" ref="AO23" si="42">SUM(AO15:AO22)</f>
        <v>1844964.259708738</v>
      </c>
      <c r="AP23" s="49">
        <f t="shared" ref="AP23" si="43">SUM(AP15:AP22)</f>
        <v>1703043.9320388352</v>
      </c>
      <c r="AQ23" s="49">
        <f t="shared" ref="AQ23" si="44">SUM(AQ15:AQ22)</f>
        <v>1632083.7682038837</v>
      </c>
      <c r="AR23" s="79">
        <f t="shared" si="19"/>
        <v>21926690.625000007</v>
      </c>
      <c r="AS23" s="79">
        <f t="shared" si="20"/>
        <v>1827224.2187500007</v>
      </c>
      <c r="AT23" s="79">
        <f>P23+AD23+AR23</f>
        <v>65780071.875000022</v>
      </c>
      <c r="AU23" s="39"/>
    </row>
    <row r="24" spans="1:47" s="40" customFormat="1" ht="11.25">
      <c r="A24" s="52"/>
      <c r="B24" s="37"/>
      <c r="C24" s="37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79"/>
      <c r="Q24" s="7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79"/>
      <c r="AE24" s="7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79"/>
      <c r="AS24" s="79"/>
      <c r="AT24" s="79"/>
      <c r="AU24" s="39"/>
    </row>
    <row r="25" spans="1:47" s="40" customFormat="1" ht="11.25">
      <c r="A25" s="269" t="s">
        <v>170</v>
      </c>
      <c r="B25" s="37"/>
      <c r="C25" s="37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79"/>
      <c r="Q25" s="7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79"/>
      <c r="AE25" s="7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79"/>
      <c r="AS25" s="79"/>
      <c r="AT25" s="79"/>
      <c r="AU25" s="39"/>
    </row>
    <row r="26" spans="1:47" s="29" customFormat="1" ht="11.25">
      <c r="A26" s="87" t="str">
        <f>'Обобщенный расчет'!B22</f>
        <v>Сэндвичи</v>
      </c>
      <c r="B26" s="33" t="s">
        <v>105</v>
      </c>
      <c r="C26" s="33"/>
      <c r="D26" s="46">
        <f>'Обобщенный расчет'!$I22*D$7*D$8</f>
        <v>0</v>
      </c>
      <c r="E26" s="46">
        <f>'Обобщенный расчет'!$I22*E$7*E$8</f>
        <v>0</v>
      </c>
      <c r="F26" s="46">
        <f>'Обобщенный расчет'!$I22*F$7*F$8</f>
        <v>0</v>
      </c>
      <c r="G26" s="46">
        <f>'Обобщенный расчет'!$I22*G$7*G$8</f>
        <v>0</v>
      </c>
      <c r="H26" s="46">
        <f>'Обобщенный расчет'!$I22*H$7*H$8</f>
        <v>0</v>
      </c>
      <c r="I26" s="46">
        <f>'Обобщенный расчет'!$I22*I$7*I$8</f>
        <v>0</v>
      </c>
      <c r="J26" s="46">
        <f>'Обобщенный расчет'!$I22*J$7*J$8</f>
        <v>0</v>
      </c>
      <c r="K26" s="46">
        <f>'Обобщенный расчет'!$I22*K$7*K$8</f>
        <v>0</v>
      </c>
      <c r="L26" s="46">
        <f>'Обобщенный расчет'!$I22*L$7*L$8</f>
        <v>0</v>
      </c>
      <c r="M26" s="46">
        <f>'Обобщенный расчет'!$I22*M$7*M$8</f>
        <v>0</v>
      </c>
      <c r="N26" s="46">
        <f>'Обобщенный расчет'!$I22*N$7*N$8</f>
        <v>0</v>
      </c>
      <c r="O26" s="46">
        <f>'Обобщенный расчет'!$I22*O$7*O$8</f>
        <v>0</v>
      </c>
      <c r="P26" s="185">
        <f t="shared" si="15"/>
        <v>0</v>
      </c>
      <c r="Q26" s="185">
        <f t="shared" si="16"/>
        <v>0</v>
      </c>
      <c r="R26" s="46">
        <f>'Обобщенный расчет'!$I22*R$7*R$8</f>
        <v>0</v>
      </c>
      <c r="S26" s="46">
        <f>'Обобщенный расчет'!$I22*S$7*S$8</f>
        <v>0</v>
      </c>
      <c r="T26" s="46">
        <f>'Обобщенный расчет'!$I22*T$7*T$8</f>
        <v>0</v>
      </c>
      <c r="U26" s="46">
        <f>'Обобщенный расчет'!$I22*U$7*U$8</f>
        <v>0</v>
      </c>
      <c r="V26" s="46">
        <f>'Обобщенный расчет'!$I22*V$7*V$8</f>
        <v>0</v>
      </c>
      <c r="W26" s="46">
        <f>'Обобщенный расчет'!$I22*W$7*W$8</f>
        <v>0</v>
      </c>
      <c r="X26" s="46">
        <f>'Обобщенный расчет'!$I22*X$7*X$8</f>
        <v>0</v>
      </c>
      <c r="Y26" s="46">
        <f>'Обобщенный расчет'!$I22*Y$7*Y$8</f>
        <v>0</v>
      </c>
      <c r="Z26" s="46">
        <f>'Обобщенный расчет'!$I22*Z$7*Z$8</f>
        <v>0</v>
      </c>
      <c r="AA26" s="46">
        <f>'Обобщенный расчет'!$I22*AA$7*AA$8</f>
        <v>0</v>
      </c>
      <c r="AB26" s="46">
        <f>'Обобщенный расчет'!$I22*AB$7*AB$8</f>
        <v>0</v>
      </c>
      <c r="AC26" s="46">
        <f>'Обобщенный расчет'!$I22*AC$7*AC$8</f>
        <v>0</v>
      </c>
      <c r="AD26" s="185">
        <f t="shared" ref="AD26:AD31" si="45">SUM(R26:AC26)</f>
        <v>0</v>
      </c>
      <c r="AE26" s="185">
        <f t="shared" ref="AE26:AE31" si="46">AD26/12</f>
        <v>0</v>
      </c>
      <c r="AF26" s="46">
        <f>'Обобщенный расчет'!$I22*AF$7*AF$8</f>
        <v>0</v>
      </c>
      <c r="AG26" s="46">
        <f>'Обобщенный расчет'!$I22*AG$7*AG$8</f>
        <v>0</v>
      </c>
      <c r="AH26" s="46">
        <f>'Обобщенный расчет'!$I22*AH$7*AH$8</f>
        <v>0</v>
      </c>
      <c r="AI26" s="46">
        <f>'Обобщенный расчет'!$I22*AI$7*AI$8</f>
        <v>0</v>
      </c>
      <c r="AJ26" s="46">
        <f>'Обобщенный расчет'!$I22*AJ$7*AJ$8</f>
        <v>0</v>
      </c>
      <c r="AK26" s="46">
        <f>'Обобщенный расчет'!$I22*AK$7*AK$8</f>
        <v>0</v>
      </c>
      <c r="AL26" s="46">
        <f>'Обобщенный расчет'!$I22*AL$7*AL$8</f>
        <v>0</v>
      </c>
      <c r="AM26" s="46">
        <f>'Обобщенный расчет'!$I22*AM$7*AM$8</f>
        <v>0</v>
      </c>
      <c r="AN26" s="46">
        <f>'Обобщенный расчет'!$I22*AN$7*AN$8</f>
        <v>0</v>
      </c>
      <c r="AO26" s="46">
        <f>'Обобщенный расчет'!$I22*AO$7*AO$8</f>
        <v>0</v>
      </c>
      <c r="AP26" s="46">
        <f>'Обобщенный расчет'!$I22*AP$7*AP$8</f>
        <v>0</v>
      </c>
      <c r="AQ26" s="46">
        <f>'Обобщенный расчет'!$I22*AQ$7*AQ$8</f>
        <v>0</v>
      </c>
      <c r="AR26" s="185">
        <f t="shared" ref="AR26:AR31" si="47">SUM(AF26:AQ26)</f>
        <v>0</v>
      </c>
      <c r="AS26" s="185">
        <f t="shared" ref="AS26:AS31" si="48">AR26/12</f>
        <v>0</v>
      </c>
      <c r="AT26" s="185">
        <f t="shared" si="21"/>
        <v>0</v>
      </c>
      <c r="AU26" s="35"/>
    </row>
    <row r="27" spans="1:47" s="40" customFormat="1" ht="11.25">
      <c r="A27" s="36" t="str">
        <f>'Обобщенный расчет'!B23</f>
        <v>Напитки</v>
      </c>
      <c r="B27" s="37" t="s">
        <v>105</v>
      </c>
      <c r="C27" s="37"/>
      <c r="D27" s="49">
        <f>'Обобщенный расчет'!$I23*D$7*D$8</f>
        <v>0</v>
      </c>
      <c r="E27" s="49">
        <f>'Обобщенный расчет'!$I23*E$7*E$8</f>
        <v>0</v>
      </c>
      <c r="F27" s="49">
        <f>'Обобщенный расчет'!$I23*F$7*F$8</f>
        <v>0</v>
      </c>
      <c r="G27" s="49">
        <f>'Обобщенный расчет'!$I23*G$7*G$8</f>
        <v>0</v>
      </c>
      <c r="H27" s="49">
        <f>'Обобщенный расчет'!$I23*H$7*H$8</f>
        <v>0</v>
      </c>
      <c r="I27" s="49">
        <f>'Обобщенный расчет'!$I23*I$7*I$8</f>
        <v>0</v>
      </c>
      <c r="J27" s="49">
        <f>'Обобщенный расчет'!$I23*J$7*J$8</f>
        <v>0</v>
      </c>
      <c r="K27" s="49">
        <f>'Обобщенный расчет'!$I23*K$7*K$8</f>
        <v>0</v>
      </c>
      <c r="L27" s="49">
        <f>'Обобщенный расчет'!$I23*L$7*L$8</f>
        <v>0</v>
      </c>
      <c r="M27" s="49">
        <f>'Обобщенный расчет'!$I23*M$7*M$8</f>
        <v>0</v>
      </c>
      <c r="N27" s="49">
        <f>'Обобщенный расчет'!$I23*N$7*N$8</f>
        <v>0</v>
      </c>
      <c r="O27" s="49">
        <f>'Обобщенный расчет'!$I23*O$7*O$8</f>
        <v>0</v>
      </c>
      <c r="P27" s="79">
        <f t="shared" si="15"/>
        <v>0</v>
      </c>
      <c r="Q27" s="79">
        <f t="shared" si="16"/>
        <v>0</v>
      </c>
      <c r="R27" s="49">
        <f>'Обобщенный расчет'!$I23*R$7*R$8</f>
        <v>0</v>
      </c>
      <c r="S27" s="49">
        <f>'Обобщенный расчет'!$I23*S$7*S$8</f>
        <v>0</v>
      </c>
      <c r="T27" s="49">
        <f>'Обобщенный расчет'!$I23*T$7*T$8</f>
        <v>0</v>
      </c>
      <c r="U27" s="49">
        <f>'Обобщенный расчет'!$I23*U$7*U$8</f>
        <v>0</v>
      </c>
      <c r="V27" s="49">
        <f>'Обобщенный расчет'!$I23*V$7*V$8</f>
        <v>0</v>
      </c>
      <c r="W27" s="49">
        <f>'Обобщенный расчет'!$I23*W$7*W$8</f>
        <v>0</v>
      </c>
      <c r="X27" s="49">
        <f>'Обобщенный расчет'!$I23*X$7*X$8</f>
        <v>0</v>
      </c>
      <c r="Y27" s="49">
        <f>'Обобщенный расчет'!$I23*Y$7*Y$8</f>
        <v>0</v>
      </c>
      <c r="Z27" s="49">
        <f>'Обобщенный расчет'!$I23*Z$7*Z$8</f>
        <v>0</v>
      </c>
      <c r="AA27" s="49">
        <f>'Обобщенный расчет'!$I23*AA$7*AA$8</f>
        <v>0</v>
      </c>
      <c r="AB27" s="49">
        <f>'Обобщенный расчет'!$I23*AB$7*AB$8</f>
        <v>0</v>
      </c>
      <c r="AC27" s="49">
        <f>'Обобщенный расчет'!$I23*AC$7*AC$8</f>
        <v>0</v>
      </c>
      <c r="AD27" s="79">
        <f t="shared" si="45"/>
        <v>0</v>
      </c>
      <c r="AE27" s="79">
        <f t="shared" si="46"/>
        <v>0</v>
      </c>
      <c r="AF27" s="49">
        <f>'Обобщенный расчет'!$I23*AF$7*AF$8</f>
        <v>0</v>
      </c>
      <c r="AG27" s="49">
        <f>'Обобщенный расчет'!$I23*AG$7*AG$8</f>
        <v>0</v>
      </c>
      <c r="AH27" s="49">
        <f>'Обобщенный расчет'!$I23*AH$7*AH$8</f>
        <v>0</v>
      </c>
      <c r="AI27" s="49">
        <f>'Обобщенный расчет'!$I23*AI$7*AI$8</f>
        <v>0</v>
      </c>
      <c r="AJ27" s="49">
        <f>'Обобщенный расчет'!$I23*AJ$7*AJ$8</f>
        <v>0</v>
      </c>
      <c r="AK27" s="49">
        <f>'Обобщенный расчет'!$I23*AK$7*AK$8</f>
        <v>0</v>
      </c>
      <c r="AL27" s="49">
        <f>'Обобщенный расчет'!$I23*AL$7*AL$8</f>
        <v>0</v>
      </c>
      <c r="AM27" s="49">
        <f>'Обобщенный расчет'!$I23*AM$7*AM$8</f>
        <v>0</v>
      </c>
      <c r="AN27" s="49">
        <f>'Обобщенный расчет'!$I23*AN$7*AN$8</f>
        <v>0</v>
      </c>
      <c r="AO27" s="49">
        <f>'Обобщенный расчет'!$I23*AO$7*AO$8</f>
        <v>0</v>
      </c>
      <c r="AP27" s="49">
        <f>'Обобщенный расчет'!$I23*AP$7*AP$8</f>
        <v>0</v>
      </c>
      <c r="AQ27" s="49">
        <f>'Обобщенный расчет'!$I23*AQ$7*AQ$8</f>
        <v>0</v>
      </c>
      <c r="AR27" s="79">
        <f t="shared" si="47"/>
        <v>0</v>
      </c>
      <c r="AS27" s="79">
        <f t="shared" si="48"/>
        <v>0</v>
      </c>
      <c r="AT27" s="79">
        <f t="shared" si="21"/>
        <v>0</v>
      </c>
      <c r="AU27" s="39"/>
    </row>
    <row r="28" spans="1:47" s="29" customFormat="1" ht="11.25">
      <c r="A28" s="32" t="str">
        <f>'Обобщенный расчет'!B24</f>
        <v>Гарниры/Фри</v>
      </c>
      <c r="B28" s="33" t="s">
        <v>105</v>
      </c>
      <c r="C28" s="33"/>
      <c r="D28" s="46">
        <f>'Обобщенный расчет'!$I24*D$7*D$8</f>
        <v>0</v>
      </c>
      <c r="E28" s="46">
        <f>'Обобщенный расчет'!$I24*E$7*E$8</f>
        <v>0</v>
      </c>
      <c r="F28" s="46">
        <f>'Обобщенный расчет'!$I24*F$7*F$8</f>
        <v>0</v>
      </c>
      <c r="G28" s="46">
        <f>'Обобщенный расчет'!$I24*G$7*G$8</f>
        <v>0</v>
      </c>
      <c r="H28" s="46">
        <f>'Обобщенный расчет'!$I24*H$7*H$8</f>
        <v>0</v>
      </c>
      <c r="I28" s="46">
        <f>'Обобщенный расчет'!$I24*I$7*I$8</f>
        <v>0</v>
      </c>
      <c r="J28" s="46">
        <f>'Обобщенный расчет'!$I24*J$7*J$8</f>
        <v>0</v>
      </c>
      <c r="K28" s="46">
        <f>'Обобщенный расчет'!$I24*K$7*K$8</f>
        <v>0</v>
      </c>
      <c r="L28" s="46">
        <f>'Обобщенный расчет'!$I24*L$7*L$8</f>
        <v>0</v>
      </c>
      <c r="M28" s="46">
        <f>'Обобщенный расчет'!$I24*M$7*M$8</f>
        <v>0</v>
      </c>
      <c r="N28" s="46">
        <f>'Обобщенный расчет'!$I24*N$7*N$8</f>
        <v>0</v>
      </c>
      <c r="O28" s="46">
        <f>'Обобщенный расчет'!$I24*O$7*O$8</f>
        <v>0</v>
      </c>
      <c r="P28" s="185">
        <f t="shared" si="15"/>
        <v>0</v>
      </c>
      <c r="Q28" s="185">
        <f t="shared" si="16"/>
        <v>0</v>
      </c>
      <c r="R28" s="46">
        <f>'Обобщенный расчет'!$I24*R$7*R$8</f>
        <v>0</v>
      </c>
      <c r="S28" s="46">
        <f>'Обобщенный расчет'!$I24*S$7*S$8</f>
        <v>0</v>
      </c>
      <c r="T28" s="46">
        <f>'Обобщенный расчет'!$I24*T$7*T$8</f>
        <v>0</v>
      </c>
      <c r="U28" s="46">
        <f>'Обобщенный расчет'!$I24*U$7*U$8</f>
        <v>0</v>
      </c>
      <c r="V28" s="46">
        <f>'Обобщенный расчет'!$I24*V$7*V$8</f>
        <v>0</v>
      </c>
      <c r="W28" s="46">
        <f>'Обобщенный расчет'!$I24*W$7*W$8</f>
        <v>0</v>
      </c>
      <c r="X28" s="46">
        <f>'Обобщенный расчет'!$I24*X$7*X$8</f>
        <v>0</v>
      </c>
      <c r="Y28" s="46">
        <f>'Обобщенный расчет'!$I24*Y$7*Y$8</f>
        <v>0</v>
      </c>
      <c r="Z28" s="46">
        <f>'Обобщенный расчет'!$I24*Z$7*Z$8</f>
        <v>0</v>
      </c>
      <c r="AA28" s="46">
        <f>'Обобщенный расчет'!$I24*AA$7*AA$8</f>
        <v>0</v>
      </c>
      <c r="AB28" s="46">
        <f>'Обобщенный расчет'!$I24*AB$7*AB$8</f>
        <v>0</v>
      </c>
      <c r="AC28" s="46">
        <f>'Обобщенный расчет'!$I24*AC$7*AC$8</f>
        <v>0</v>
      </c>
      <c r="AD28" s="185">
        <f t="shared" si="45"/>
        <v>0</v>
      </c>
      <c r="AE28" s="185">
        <f t="shared" si="46"/>
        <v>0</v>
      </c>
      <c r="AF28" s="46">
        <f>'Обобщенный расчет'!$I24*AF$7*AF$8</f>
        <v>0</v>
      </c>
      <c r="AG28" s="46">
        <f>'Обобщенный расчет'!$I24*AG$7*AG$8</f>
        <v>0</v>
      </c>
      <c r="AH28" s="46">
        <f>'Обобщенный расчет'!$I24*AH$7*AH$8</f>
        <v>0</v>
      </c>
      <c r="AI28" s="46">
        <f>'Обобщенный расчет'!$I24*AI$7*AI$8</f>
        <v>0</v>
      </c>
      <c r="AJ28" s="46">
        <f>'Обобщенный расчет'!$I24*AJ$7*AJ$8</f>
        <v>0</v>
      </c>
      <c r="AK28" s="46">
        <f>'Обобщенный расчет'!$I24*AK$7*AK$8</f>
        <v>0</v>
      </c>
      <c r="AL28" s="46">
        <f>'Обобщенный расчет'!$I24*AL$7*AL$8</f>
        <v>0</v>
      </c>
      <c r="AM28" s="46">
        <f>'Обобщенный расчет'!$I24*AM$7*AM$8</f>
        <v>0</v>
      </c>
      <c r="AN28" s="46">
        <f>'Обобщенный расчет'!$I24*AN$7*AN$8</f>
        <v>0</v>
      </c>
      <c r="AO28" s="46">
        <f>'Обобщенный расчет'!$I24*AO$7*AO$8</f>
        <v>0</v>
      </c>
      <c r="AP28" s="46">
        <f>'Обобщенный расчет'!$I24*AP$7*AP$8</f>
        <v>0</v>
      </c>
      <c r="AQ28" s="46">
        <f>'Обобщенный расчет'!$I24*AQ$7*AQ$8</f>
        <v>0</v>
      </c>
      <c r="AR28" s="185">
        <f t="shared" si="47"/>
        <v>0</v>
      </c>
      <c r="AS28" s="185">
        <f t="shared" si="48"/>
        <v>0</v>
      </c>
      <c r="AT28" s="185">
        <f t="shared" si="21"/>
        <v>0</v>
      </c>
      <c r="AU28" s="35"/>
    </row>
    <row r="29" spans="1:47" s="40" customFormat="1" ht="11.25">
      <c r="A29" s="36" t="str">
        <f>'Обобщенный расчет'!B25</f>
        <v>Паста</v>
      </c>
      <c r="B29" s="37" t="s">
        <v>105</v>
      </c>
      <c r="C29" s="37"/>
      <c r="D29" s="49">
        <f>'Обобщенный расчет'!$I25*D$7*D$8</f>
        <v>0</v>
      </c>
      <c r="E29" s="49">
        <f>'Обобщенный расчет'!$I25*E$7*E$8</f>
        <v>0</v>
      </c>
      <c r="F29" s="49">
        <f>'Обобщенный расчет'!$I25*F$7*F$8</f>
        <v>0</v>
      </c>
      <c r="G29" s="49">
        <f>'Обобщенный расчет'!$I25*G$7*G$8</f>
        <v>0</v>
      </c>
      <c r="H29" s="49">
        <f>'Обобщенный расчет'!$I25*H$7*H$8</f>
        <v>0</v>
      </c>
      <c r="I29" s="49">
        <f>'Обобщенный расчет'!$I25*I$7*I$8</f>
        <v>0</v>
      </c>
      <c r="J29" s="49">
        <f>'Обобщенный расчет'!$I25*J$7*J$8</f>
        <v>0</v>
      </c>
      <c r="K29" s="49">
        <f>'Обобщенный расчет'!$I25*K$7*K$8</f>
        <v>0</v>
      </c>
      <c r="L29" s="49">
        <f>'Обобщенный расчет'!$I25*L$7*L$8</f>
        <v>0</v>
      </c>
      <c r="M29" s="49">
        <f>'Обобщенный расчет'!$I25*M$7*M$8</f>
        <v>0</v>
      </c>
      <c r="N29" s="49">
        <f>'Обобщенный расчет'!$I25*N$7*N$8</f>
        <v>0</v>
      </c>
      <c r="O29" s="49">
        <f>'Обобщенный расчет'!$I25*O$7*O$8</f>
        <v>0</v>
      </c>
      <c r="P29" s="79">
        <f t="shared" si="15"/>
        <v>0</v>
      </c>
      <c r="Q29" s="79">
        <f t="shared" si="16"/>
        <v>0</v>
      </c>
      <c r="R29" s="49">
        <f>'Обобщенный расчет'!$I25*R$7*R$8</f>
        <v>0</v>
      </c>
      <c r="S29" s="49">
        <f>'Обобщенный расчет'!$I25*S$7*S$8</f>
        <v>0</v>
      </c>
      <c r="T29" s="49">
        <f>'Обобщенный расчет'!$I25*T$7*T$8</f>
        <v>0</v>
      </c>
      <c r="U29" s="49">
        <f>'Обобщенный расчет'!$I25*U$7*U$8</f>
        <v>0</v>
      </c>
      <c r="V29" s="49">
        <f>'Обобщенный расчет'!$I25*V$7*V$8</f>
        <v>0</v>
      </c>
      <c r="W29" s="49">
        <f>'Обобщенный расчет'!$I25*W$7*W$8</f>
        <v>0</v>
      </c>
      <c r="X29" s="49">
        <f>'Обобщенный расчет'!$I25*X$7*X$8</f>
        <v>0</v>
      </c>
      <c r="Y29" s="49">
        <f>'Обобщенный расчет'!$I25*Y$7*Y$8</f>
        <v>0</v>
      </c>
      <c r="Z29" s="49">
        <f>'Обобщенный расчет'!$I25*Z$7*Z$8</f>
        <v>0</v>
      </c>
      <c r="AA29" s="49">
        <f>'Обобщенный расчет'!$I25*AA$7*AA$8</f>
        <v>0</v>
      </c>
      <c r="AB29" s="49">
        <f>'Обобщенный расчет'!$I25*AB$7*AB$8</f>
        <v>0</v>
      </c>
      <c r="AC29" s="49">
        <f>'Обобщенный расчет'!$I25*AC$7*AC$8</f>
        <v>0</v>
      </c>
      <c r="AD29" s="79">
        <f t="shared" si="45"/>
        <v>0</v>
      </c>
      <c r="AE29" s="79">
        <f t="shared" si="46"/>
        <v>0</v>
      </c>
      <c r="AF29" s="49">
        <f>'Обобщенный расчет'!$I25*AF$7*AF$8</f>
        <v>0</v>
      </c>
      <c r="AG29" s="49">
        <f>'Обобщенный расчет'!$I25*AG$7*AG$8</f>
        <v>0</v>
      </c>
      <c r="AH29" s="49">
        <f>'Обобщенный расчет'!$I25*AH$7*AH$8</f>
        <v>0</v>
      </c>
      <c r="AI29" s="49">
        <f>'Обобщенный расчет'!$I25*AI$7*AI$8</f>
        <v>0</v>
      </c>
      <c r="AJ29" s="49">
        <f>'Обобщенный расчет'!$I25*AJ$7*AJ$8</f>
        <v>0</v>
      </c>
      <c r="AK29" s="49">
        <f>'Обобщенный расчет'!$I25*AK$7*AK$8</f>
        <v>0</v>
      </c>
      <c r="AL29" s="49">
        <f>'Обобщенный расчет'!$I25*AL$7*AL$8</f>
        <v>0</v>
      </c>
      <c r="AM29" s="49">
        <f>'Обобщенный расчет'!$I25*AM$7*AM$8</f>
        <v>0</v>
      </c>
      <c r="AN29" s="49">
        <f>'Обобщенный расчет'!$I25*AN$7*AN$8</f>
        <v>0</v>
      </c>
      <c r="AO29" s="49">
        <f>'Обобщенный расчет'!$I25*AO$7*AO$8</f>
        <v>0</v>
      </c>
      <c r="AP29" s="49">
        <f>'Обобщенный расчет'!$I25*AP$7*AP$8</f>
        <v>0</v>
      </c>
      <c r="AQ29" s="49">
        <f>'Обобщенный расчет'!$I25*AQ$7*AQ$8</f>
        <v>0</v>
      </c>
      <c r="AR29" s="79">
        <f t="shared" si="47"/>
        <v>0</v>
      </c>
      <c r="AS29" s="79">
        <f t="shared" si="48"/>
        <v>0</v>
      </c>
      <c r="AT29" s="79">
        <f t="shared" si="21"/>
        <v>0</v>
      </c>
      <c r="AU29" s="39"/>
    </row>
    <row r="30" spans="1:47" s="29" customFormat="1" ht="11.25">
      <c r="A30" s="32" t="str">
        <f>'Обобщенный расчет'!B26</f>
        <v>Пицца</v>
      </c>
      <c r="B30" s="33" t="s">
        <v>105</v>
      </c>
      <c r="C30" s="33"/>
      <c r="D30" s="46">
        <f>'Обобщенный расчет'!$I26*D$7*D$8</f>
        <v>0</v>
      </c>
      <c r="E30" s="46">
        <f>'Обобщенный расчет'!$I26*E$7*E$8</f>
        <v>0</v>
      </c>
      <c r="F30" s="46">
        <f>'Обобщенный расчет'!$I26*F$7*F$8</f>
        <v>0</v>
      </c>
      <c r="G30" s="46">
        <f>'Обобщенный расчет'!$I26*G$7*G$8</f>
        <v>0</v>
      </c>
      <c r="H30" s="46">
        <f>'Обобщенный расчет'!$I26*H$7*H$8</f>
        <v>0</v>
      </c>
      <c r="I30" s="46">
        <f>'Обобщенный расчет'!$I26*I$7*I$8</f>
        <v>0</v>
      </c>
      <c r="J30" s="46">
        <f>'Обобщенный расчет'!$I26*J$7*J$8</f>
        <v>0</v>
      </c>
      <c r="K30" s="46">
        <f>'Обобщенный расчет'!$I26*K$7*K$8</f>
        <v>0</v>
      </c>
      <c r="L30" s="46">
        <f>'Обобщенный расчет'!$I26*L$7*L$8</f>
        <v>0</v>
      </c>
      <c r="M30" s="46">
        <f>'Обобщенный расчет'!$I26*M$7*M$8</f>
        <v>0</v>
      </c>
      <c r="N30" s="46">
        <f>'Обобщенный расчет'!$I26*N$7*N$8</f>
        <v>0</v>
      </c>
      <c r="O30" s="46">
        <f>'Обобщенный расчет'!$I26*O$7*O$8</f>
        <v>0</v>
      </c>
      <c r="P30" s="185">
        <f t="shared" ref="P30" si="49">SUM(D30:O30)</f>
        <v>0</v>
      </c>
      <c r="Q30" s="185">
        <f t="shared" ref="Q30" si="50">P30/12</f>
        <v>0</v>
      </c>
      <c r="R30" s="46">
        <f>'Обобщенный расчет'!$I26*R$7*R$8</f>
        <v>0</v>
      </c>
      <c r="S30" s="46">
        <f>'Обобщенный расчет'!$I26*S$7*S$8</f>
        <v>0</v>
      </c>
      <c r="T30" s="46">
        <f>'Обобщенный расчет'!$I26*T$7*T$8</f>
        <v>0</v>
      </c>
      <c r="U30" s="46">
        <f>'Обобщенный расчет'!$I26*U$7*U$8</f>
        <v>0</v>
      </c>
      <c r="V30" s="46">
        <f>'Обобщенный расчет'!$I26*V$7*V$8</f>
        <v>0</v>
      </c>
      <c r="W30" s="46">
        <f>'Обобщенный расчет'!$I26*W$7*W$8</f>
        <v>0</v>
      </c>
      <c r="X30" s="46">
        <f>'Обобщенный расчет'!$I26*X$7*X$8</f>
        <v>0</v>
      </c>
      <c r="Y30" s="46">
        <f>'Обобщенный расчет'!$I26*Y$7*Y$8</f>
        <v>0</v>
      </c>
      <c r="Z30" s="46">
        <f>'Обобщенный расчет'!$I26*Z$7*Z$8</f>
        <v>0</v>
      </c>
      <c r="AA30" s="46">
        <f>'Обобщенный расчет'!$I26*AA$7*AA$8</f>
        <v>0</v>
      </c>
      <c r="AB30" s="46">
        <f>'Обобщенный расчет'!$I26*AB$7*AB$8</f>
        <v>0</v>
      </c>
      <c r="AC30" s="46">
        <f>'Обобщенный расчет'!$I26*AC$7*AC$8</f>
        <v>0</v>
      </c>
      <c r="AD30" s="185">
        <f t="shared" si="45"/>
        <v>0</v>
      </c>
      <c r="AE30" s="185">
        <f t="shared" si="46"/>
        <v>0</v>
      </c>
      <c r="AF30" s="46">
        <f>'Обобщенный расчет'!$I26*AF$7*AF$8</f>
        <v>0</v>
      </c>
      <c r="AG30" s="46">
        <f>'Обобщенный расчет'!$I26*AG$7*AG$8</f>
        <v>0</v>
      </c>
      <c r="AH30" s="46">
        <f>'Обобщенный расчет'!$I26*AH$7*AH$8</f>
        <v>0</v>
      </c>
      <c r="AI30" s="46">
        <f>'Обобщенный расчет'!$I26*AI$7*AI$8</f>
        <v>0</v>
      </c>
      <c r="AJ30" s="46">
        <f>'Обобщенный расчет'!$I26*AJ$7*AJ$8</f>
        <v>0</v>
      </c>
      <c r="AK30" s="46">
        <f>'Обобщенный расчет'!$I26*AK$7*AK$8</f>
        <v>0</v>
      </c>
      <c r="AL30" s="46">
        <f>'Обобщенный расчет'!$I26*AL$7*AL$8</f>
        <v>0</v>
      </c>
      <c r="AM30" s="46">
        <f>'Обобщенный расчет'!$I26*AM$7*AM$8</f>
        <v>0</v>
      </c>
      <c r="AN30" s="46">
        <f>'Обобщенный расчет'!$I26*AN$7*AN$8</f>
        <v>0</v>
      </c>
      <c r="AO30" s="46">
        <f>'Обобщенный расчет'!$I26*AO$7*AO$8</f>
        <v>0</v>
      </c>
      <c r="AP30" s="46">
        <f>'Обобщенный расчет'!$I26*AP$7*AP$8</f>
        <v>0</v>
      </c>
      <c r="AQ30" s="46">
        <f>'Обобщенный расчет'!$I26*AQ$7*AQ$8</f>
        <v>0</v>
      </c>
      <c r="AR30" s="185">
        <f t="shared" si="47"/>
        <v>0</v>
      </c>
      <c r="AS30" s="185">
        <f t="shared" si="48"/>
        <v>0</v>
      </c>
      <c r="AT30" s="185">
        <f t="shared" ref="AT30:AT31" si="51">P30+AD30+AR30</f>
        <v>0</v>
      </c>
      <c r="AU30" s="35"/>
    </row>
    <row r="31" spans="1:47" s="97" customFormat="1" ht="11.25">
      <c r="A31" s="261" t="s">
        <v>171</v>
      </c>
      <c r="B31" s="270" t="s">
        <v>105</v>
      </c>
      <c r="C31" s="270"/>
      <c r="D31" s="271">
        <f>SUM(D26:D30)</f>
        <v>0</v>
      </c>
      <c r="E31" s="271">
        <f t="shared" ref="E31:O31" si="52">SUM(E26:E30)</f>
        <v>0</v>
      </c>
      <c r="F31" s="271">
        <f t="shared" si="52"/>
        <v>0</v>
      </c>
      <c r="G31" s="271">
        <f t="shared" si="52"/>
        <v>0</v>
      </c>
      <c r="H31" s="271">
        <f t="shared" si="52"/>
        <v>0</v>
      </c>
      <c r="I31" s="271">
        <f t="shared" si="52"/>
        <v>0</v>
      </c>
      <c r="J31" s="271">
        <f t="shared" si="52"/>
        <v>0</v>
      </c>
      <c r="K31" s="271">
        <f t="shared" si="52"/>
        <v>0</v>
      </c>
      <c r="L31" s="271">
        <f t="shared" si="52"/>
        <v>0</v>
      </c>
      <c r="M31" s="271">
        <f t="shared" si="52"/>
        <v>0</v>
      </c>
      <c r="N31" s="271">
        <f t="shared" si="52"/>
        <v>0</v>
      </c>
      <c r="O31" s="271">
        <f t="shared" si="52"/>
        <v>0</v>
      </c>
      <c r="P31" s="272">
        <f t="shared" ref="P31" si="53">SUM(D31:O31)</f>
        <v>0</v>
      </c>
      <c r="Q31" s="272">
        <f t="shared" ref="Q31" si="54">P31/12</f>
        <v>0</v>
      </c>
      <c r="R31" s="271">
        <f>SUM(R26:R30)</f>
        <v>0</v>
      </c>
      <c r="S31" s="271">
        <f t="shared" ref="S31" si="55">SUM(S26:S30)</f>
        <v>0</v>
      </c>
      <c r="T31" s="271">
        <f t="shared" ref="T31" si="56">SUM(T26:T30)</f>
        <v>0</v>
      </c>
      <c r="U31" s="271">
        <f t="shared" ref="U31" si="57">SUM(U26:U30)</f>
        <v>0</v>
      </c>
      <c r="V31" s="271">
        <f t="shared" ref="V31" si="58">SUM(V26:V30)</f>
        <v>0</v>
      </c>
      <c r="W31" s="271">
        <f t="shared" ref="W31" si="59">SUM(W26:W30)</f>
        <v>0</v>
      </c>
      <c r="X31" s="271">
        <f t="shared" ref="X31" si="60">SUM(X26:X30)</f>
        <v>0</v>
      </c>
      <c r="Y31" s="271">
        <f t="shared" ref="Y31" si="61">SUM(Y26:Y30)</f>
        <v>0</v>
      </c>
      <c r="Z31" s="271">
        <f t="shared" ref="Z31" si="62">SUM(Z26:Z30)</f>
        <v>0</v>
      </c>
      <c r="AA31" s="271">
        <f t="shared" ref="AA31" si="63">SUM(AA26:AA30)</f>
        <v>0</v>
      </c>
      <c r="AB31" s="271">
        <f t="shared" ref="AB31" si="64">SUM(AB26:AB30)</f>
        <v>0</v>
      </c>
      <c r="AC31" s="271">
        <f t="shared" ref="AC31" si="65">SUM(AC26:AC30)</f>
        <v>0</v>
      </c>
      <c r="AD31" s="272">
        <f t="shared" si="45"/>
        <v>0</v>
      </c>
      <c r="AE31" s="272">
        <f t="shared" si="46"/>
        <v>0</v>
      </c>
      <c r="AF31" s="271">
        <f>SUM(AF26:AF30)</f>
        <v>0</v>
      </c>
      <c r="AG31" s="271">
        <f t="shared" ref="AG31" si="66">SUM(AG26:AG30)</f>
        <v>0</v>
      </c>
      <c r="AH31" s="271">
        <f t="shared" ref="AH31" si="67">SUM(AH26:AH30)</f>
        <v>0</v>
      </c>
      <c r="AI31" s="271">
        <f t="shared" ref="AI31" si="68">SUM(AI26:AI30)</f>
        <v>0</v>
      </c>
      <c r="AJ31" s="271">
        <f t="shared" ref="AJ31" si="69">SUM(AJ26:AJ30)</f>
        <v>0</v>
      </c>
      <c r="AK31" s="271">
        <f t="shared" ref="AK31" si="70">SUM(AK26:AK30)</f>
        <v>0</v>
      </c>
      <c r="AL31" s="271">
        <f t="shared" ref="AL31" si="71">SUM(AL26:AL30)</f>
        <v>0</v>
      </c>
      <c r="AM31" s="271">
        <f t="shared" ref="AM31" si="72">SUM(AM26:AM30)</f>
        <v>0</v>
      </c>
      <c r="AN31" s="271">
        <f t="shared" ref="AN31" si="73">SUM(AN26:AN30)</f>
        <v>0</v>
      </c>
      <c r="AO31" s="271">
        <f t="shared" ref="AO31" si="74">SUM(AO26:AO30)</f>
        <v>0</v>
      </c>
      <c r="AP31" s="271">
        <f t="shared" ref="AP31" si="75">SUM(AP26:AP30)</f>
        <v>0</v>
      </c>
      <c r="AQ31" s="271">
        <f t="shared" ref="AQ31" si="76">SUM(AQ26:AQ30)</f>
        <v>0</v>
      </c>
      <c r="AR31" s="272">
        <f t="shared" si="47"/>
        <v>0</v>
      </c>
      <c r="AS31" s="272">
        <f t="shared" si="48"/>
        <v>0</v>
      </c>
      <c r="AT31" s="272">
        <f t="shared" si="51"/>
        <v>0</v>
      </c>
      <c r="AU31" s="264"/>
    </row>
    <row r="32" spans="1:47" s="97" customFormat="1" ht="11.25">
      <c r="A32" s="261"/>
      <c r="B32" s="262"/>
      <c r="C32" s="262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275"/>
      <c r="Q32" s="275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4"/>
      <c r="AD32" s="275"/>
      <c r="AE32" s="275"/>
      <c r="AF32" s="274"/>
      <c r="AG32" s="274"/>
      <c r="AH32" s="274"/>
      <c r="AI32" s="274"/>
      <c r="AJ32" s="274"/>
      <c r="AK32" s="274"/>
      <c r="AL32" s="274"/>
      <c r="AM32" s="274"/>
      <c r="AN32" s="274"/>
      <c r="AO32" s="274"/>
      <c r="AP32" s="274"/>
      <c r="AQ32" s="274"/>
      <c r="AR32" s="275"/>
      <c r="AS32" s="275"/>
      <c r="AT32" s="275"/>
      <c r="AU32" s="264"/>
    </row>
    <row r="33" spans="1:47" s="40" customFormat="1" ht="11.25">
      <c r="A33" s="41" t="s">
        <v>172</v>
      </c>
      <c r="B33" s="42" t="s">
        <v>105</v>
      </c>
      <c r="C33" s="42"/>
      <c r="D33" s="169">
        <f>D23+D31</f>
        <v>1703043.9320388352</v>
      </c>
      <c r="E33" s="169">
        <f t="shared" ref="E33:O33" si="77">E23+E31</f>
        <v>2270725.2427184465</v>
      </c>
      <c r="F33" s="169">
        <f t="shared" si="77"/>
        <v>1915924.4235436891</v>
      </c>
      <c r="G33" s="169">
        <f t="shared" si="77"/>
        <v>2057844.7512135922</v>
      </c>
      <c r="H33" s="169">
        <f t="shared" si="77"/>
        <v>1632083.7682038837</v>
      </c>
      <c r="I33" s="169">
        <f t="shared" si="77"/>
        <v>1703043.9320388352</v>
      </c>
      <c r="J33" s="169">
        <f t="shared" si="77"/>
        <v>1915924.4235436891</v>
      </c>
      <c r="K33" s="169">
        <f t="shared" si="77"/>
        <v>1915924.4235436891</v>
      </c>
      <c r="L33" s="169">
        <f t="shared" si="77"/>
        <v>1632083.7682038837</v>
      </c>
      <c r="M33" s="169">
        <f t="shared" si="77"/>
        <v>1844964.259708738</v>
      </c>
      <c r="N33" s="169">
        <f t="shared" si="77"/>
        <v>1703043.9320388352</v>
      </c>
      <c r="O33" s="169">
        <f t="shared" si="77"/>
        <v>1632083.7682038837</v>
      </c>
      <c r="P33" s="169">
        <f t="shared" ref="P33" si="78">P23+P31</f>
        <v>21926690.625000007</v>
      </c>
      <c r="Q33" s="169">
        <f t="shared" ref="Q33" si="79">Q23+Q31</f>
        <v>1827224.2187500007</v>
      </c>
      <c r="R33" s="169">
        <f t="shared" ref="R33" si="80">R23+R31</f>
        <v>1703043.9320388352</v>
      </c>
      <c r="S33" s="169">
        <f t="shared" ref="S33" si="81">S23+S31</f>
        <v>2270725.2427184465</v>
      </c>
      <c r="T33" s="169">
        <f t="shared" ref="T33" si="82">T23+T31</f>
        <v>1915924.4235436891</v>
      </c>
      <c r="U33" s="169">
        <f t="shared" ref="U33" si="83">U23+U31</f>
        <v>2057844.7512135922</v>
      </c>
      <c r="V33" s="169">
        <f t="shared" ref="V33" si="84">V23+V31</f>
        <v>1632083.7682038837</v>
      </c>
      <c r="W33" s="169">
        <f t="shared" ref="W33" si="85">W23+W31</f>
        <v>1703043.9320388352</v>
      </c>
      <c r="X33" s="169">
        <f t="shared" ref="X33" si="86">X23+X31</f>
        <v>1915924.4235436891</v>
      </c>
      <c r="Y33" s="169">
        <f t="shared" ref="Y33" si="87">Y23+Y31</f>
        <v>1915924.4235436891</v>
      </c>
      <c r="Z33" s="169">
        <f t="shared" ref="Z33" si="88">Z23+Z31</f>
        <v>1632083.7682038837</v>
      </c>
      <c r="AA33" s="169">
        <f t="shared" ref="AA33" si="89">AA23+AA31</f>
        <v>1844964.259708738</v>
      </c>
      <c r="AB33" s="169">
        <f t="shared" ref="AB33" si="90">AB23+AB31</f>
        <v>1703043.9320388352</v>
      </c>
      <c r="AC33" s="169">
        <f t="shared" ref="AC33" si="91">AC23+AC31</f>
        <v>1632083.7682038837</v>
      </c>
      <c r="AD33" s="169">
        <f t="shared" ref="AD33" si="92">AD23+AD31</f>
        <v>21926690.625000007</v>
      </c>
      <c r="AE33" s="169">
        <f t="shared" ref="AE33" si="93">AE23+AE31</f>
        <v>1827224.2187500007</v>
      </c>
      <c r="AF33" s="169">
        <f t="shared" ref="AF33" si="94">AF23+AF31</f>
        <v>1703043.9320388352</v>
      </c>
      <c r="AG33" s="169">
        <f t="shared" ref="AG33" si="95">AG23+AG31</f>
        <v>2270725.2427184465</v>
      </c>
      <c r="AH33" s="169">
        <f t="shared" ref="AH33" si="96">AH23+AH31</f>
        <v>1915924.4235436891</v>
      </c>
      <c r="AI33" s="169">
        <f t="shared" ref="AI33" si="97">AI23+AI31</f>
        <v>2057844.7512135922</v>
      </c>
      <c r="AJ33" s="169">
        <f t="shared" ref="AJ33" si="98">AJ23+AJ31</f>
        <v>1632083.7682038837</v>
      </c>
      <c r="AK33" s="169">
        <f t="shared" ref="AK33" si="99">AK23+AK31</f>
        <v>1703043.9320388352</v>
      </c>
      <c r="AL33" s="169">
        <f t="shared" ref="AL33" si="100">AL23+AL31</f>
        <v>1915924.4235436891</v>
      </c>
      <c r="AM33" s="169">
        <f t="shared" ref="AM33" si="101">AM23+AM31</f>
        <v>1915924.4235436891</v>
      </c>
      <c r="AN33" s="169">
        <f t="shared" ref="AN33" si="102">AN23+AN31</f>
        <v>1632083.7682038837</v>
      </c>
      <c r="AO33" s="169">
        <f t="shared" ref="AO33" si="103">AO23+AO31</f>
        <v>1844964.259708738</v>
      </c>
      <c r="AP33" s="169">
        <f t="shared" ref="AP33" si="104">AP23+AP31</f>
        <v>1703043.9320388352</v>
      </c>
      <c r="AQ33" s="169">
        <f t="shared" ref="AQ33" si="105">AQ23+AQ31</f>
        <v>1632083.7682038837</v>
      </c>
      <c r="AR33" s="169">
        <f t="shared" ref="AR33" si="106">AR23+AR31</f>
        <v>21926690.625000007</v>
      </c>
      <c r="AS33" s="169">
        <f t="shared" ref="AS33" si="107">AS23+AS31</f>
        <v>1827224.2187500007</v>
      </c>
      <c r="AT33" s="169">
        <f>AT23+AT31</f>
        <v>65780071.875000022</v>
      </c>
      <c r="AU33" s="39"/>
    </row>
    <row r="34" spans="1:47" s="29" customFormat="1" ht="12" thickBot="1">
      <c r="A34" s="43"/>
      <c r="B34" s="44"/>
      <c r="C34" s="44"/>
      <c r="D34" s="45"/>
      <c r="E34" s="43"/>
      <c r="F34" s="43"/>
      <c r="G34" s="43"/>
      <c r="H34" s="43"/>
      <c r="I34" s="43"/>
      <c r="J34" s="43"/>
      <c r="K34" s="43"/>
      <c r="P34" s="82"/>
      <c r="Q34" s="82"/>
      <c r="R34" s="45"/>
      <c r="S34" s="43"/>
      <c r="T34" s="43"/>
      <c r="U34" s="43"/>
      <c r="V34" s="43"/>
      <c r="W34" s="43"/>
      <c r="X34" s="43"/>
      <c r="Y34" s="43"/>
      <c r="AD34" s="82"/>
      <c r="AE34" s="82"/>
      <c r="AF34" s="45"/>
      <c r="AG34" s="43"/>
      <c r="AH34" s="43"/>
      <c r="AI34" s="43"/>
      <c r="AJ34" s="43"/>
      <c r="AK34" s="43"/>
      <c r="AL34" s="43"/>
      <c r="AM34" s="43"/>
      <c r="AR34" s="82"/>
      <c r="AS34" s="82"/>
    </row>
    <row r="35" spans="1:47" s="29" customFormat="1" ht="24" thickTop="1" thickBot="1">
      <c r="A35" s="27" t="s">
        <v>21</v>
      </c>
      <c r="B35" s="28"/>
      <c r="C35" s="28"/>
      <c r="D35" s="28" t="str">
        <f t="shared" ref="D35:O35" si="108">D$6</f>
        <v>сентябрь</v>
      </c>
      <c r="E35" s="28" t="str">
        <f t="shared" si="108"/>
        <v>октябрь</v>
      </c>
      <c r="F35" s="28" t="str">
        <f t="shared" si="108"/>
        <v>ноябрь</v>
      </c>
      <c r="G35" s="28" t="str">
        <f t="shared" si="108"/>
        <v>декабрь</v>
      </c>
      <c r="H35" s="28" t="str">
        <f t="shared" si="108"/>
        <v>январь</v>
      </c>
      <c r="I35" s="28" t="str">
        <f t="shared" si="108"/>
        <v>февраль</v>
      </c>
      <c r="J35" s="28" t="str">
        <f t="shared" si="108"/>
        <v>март</v>
      </c>
      <c r="K35" s="28" t="str">
        <f t="shared" si="108"/>
        <v>апрель</v>
      </c>
      <c r="L35" s="28" t="str">
        <f t="shared" si="108"/>
        <v>май</v>
      </c>
      <c r="M35" s="28" t="str">
        <f t="shared" si="108"/>
        <v>июнь</v>
      </c>
      <c r="N35" s="28" t="str">
        <f t="shared" si="108"/>
        <v>июль</v>
      </c>
      <c r="O35" s="28" t="str">
        <f t="shared" si="108"/>
        <v>август</v>
      </c>
      <c r="P35" s="174" t="str">
        <f>P13</f>
        <v>Итого за 1-й год</v>
      </c>
      <c r="Q35" s="174" t="str">
        <f>Q13</f>
        <v>Среднемесячно за 1-й год</v>
      </c>
      <c r="R35" s="28" t="str">
        <f t="shared" ref="R35:AC35" si="109">R$6</f>
        <v>сентябрь</v>
      </c>
      <c r="S35" s="28" t="str">
        <f t="shared" si="109"/>
        <v>октябрь</v>
      </c>
      <c r="T35" s="28" t="str">
        <f t="shared" si="109"/>
        <v>ноябрь</v>
      </c>
      <c r="U35" s="28" t="str">
        <f t="shared" si="109"/>
        <v>декабрь</v>
      </c>
      <c r="V35" s="28" t="str">
        <f t="shared" si="109"/>
        <v>январь</v>
      </c>
      <c r="W35" s="28" t="str">
        <f t="shared" si="109"/>
        <v>февраль</v>
      </c>
      <c r="X35" s="28" t="str">
        <f t="shared" si="109"/>
        <v>март</v>
      </c>
      <c r="Y35" s="28" t="str">
        <f t="shared" si="109"/>
        <v>апрель</v>
      </c>
      <c r="Z35" s="28" t="str">
        <f t="shared" si="109"/>
        <v>май</v>
      </c>
      <c r="AA35" s="28" t="str">
        <f t="shared" si="109"/>
        <v>июнь</v>
      </c>
      <c r="AB35" s="28" t="str">
        <f t="shared" si="109"/>
        <v>июль</v>
      </c>
      <c r="AC35" s="28" t="str">
        <f t="shared" si="109"/>
        <v>август</v>
      </c>
      <c r="AD35" s="174" t="str">
        <f>AD13</f>
        <v>Итого за 2-й год</v>
      </c>
      <c r="AE35" s="174" t="str">
        <f>AE13</f>
        <v>Среднемесячно за 2-й год</v>
      </c>
      <c r="AF35" s="28" t="str">
        <f t="shared" ref="AF35:AQ35" si="110">AF$6</f>
        <v>сентябрь</v>
      </c>
      <c r="AG35" s="28" t="str">
        <f t="shared" si="110"/>
        <v>октябрь</v>
      </c>
      <c r="AH35" s="28" t="str">
        <f t="shared" si="110"/>
        <v>ноябрь</v>
      </c>
      <c r="AI35" s="28" t="str">
        <f t="shared" si="110"/>
        <v>декабрь</v>
      </c>
      <c r="AJ35" s="28" t="str">
        <f t="shared" si="110"/>
        <v>январь</v>
      </c>
      <c r="AK35" s="28" t="str">
        <f t="shared" si="110"/>
        <v>февраль</v>
      </c>
      <c r="AL35" s="28" t="str">
        <f t="shared" si="110"/>
        <v>март</v>
      </c>
      <c r="AM35" s="28" t="str">
        <f t="shared" si="110"/>
        <v>апрель</v>
      </c>
      <c r="AN35" s="28" t="str">
        <f t="shared" si="110"/>
        <v>май</v>
      </c>
      <c r="AO35" s="28" t="str">
        <f t="shared" si="110"/>
        <v>июнь</v>
      </c>
      <c r="AP35" s="28" t="str">
        <f t="shared" si="110"/>
        <v>июль</v>
      </c>
      <c r="AQ35" s="28" t="str">
        <f t="shared" si="110"/>
        <v>август</v>
      </c>
      <c r="AR35" s="174" t="str">
        <f>AR13</f>
        <v>Итого за 3-й год</v>
      </c>
      <c r="AS35" s="174" t="str">
        <f>AS13</f>
        <v>Среднемесячно за 3-й год</v>
      </c>
      <c r="AT35" s="284" t="str">
        <f>AT12</f>
        <v>Итого за три года</v>
      </c>
    </row>
    <row r="36" spans="1:47" s="29" customFormat="1" ht="12" thickTop="1">
      <c r="A36" s="260" t="s">
        <v>173</v>
      </c>
      <c r="D36" s="31"/>
      <c r="E36" s="31"/>
      <c r="F36" s="31"/>
      <c r="G36" s="31"/>
      <c r="H36" s="31"/>
      <c r="I36" s="31"/>
      <c r="J36" s="31"/>
      <c r="K36" s="31"/>
      <c r="P36" s="82"/>
      <c r="Q36" s="82"/>
      <c r="R36" s="31"/>
      <c r="S36" s="31"/>
      <c r="T36" s="31"/>
      <c r="U36" s="31"/>
      <c r="V36" s="31"/>
      <c r="W36" s="31"/>
      <c r="X36" s="31"/>
      <c r="Y36" s="31"/>
      <c r="AD36" s="82"/>
      <c r="AE36" s="82"/>
      <c r="AF36" s="31"/>
      <c r="AG36" s="31"/>
      <c r="AH36" s="31"/>
      <c r="AI36" s="31"/>
      <c r="AJ36" s="31"/>
      <c r="AK36" s="31"/>
      <c r="AL36" s="31"/>
      <c r="AM36" s="31"/>
      <c r="AR36" s="82"/>
      <c r="AS36" s="82"/>
    </row>
    <row r="37" spans="1:47" s="48" customFormat="1" ht="11.25">
      <c r="A37" s="32" t="str">
        <f t="shared" ref="A37:A44" si="111">A15</f>
        <v>Бургеры, Сэндвичи</v>
      </c>
      <c r="B37" s="33" t="s">
        <v>105</v>
      </c>
      <c r="C37" s="33"/>
      <c r="D37" s="46">
        <f>D15/(1+'Обобщенный расчет'!$G9)</f>
        <v>192555.21844660197</v>
      </c>
      <c r="E37" s="46">
        <f>E15/(1+'Обобщенный расчет'!$G9)</f>
        <v>256740.29126213599</v>
      </c>
      <c r="F37" s="46">
        <f>F15/(1+'Обобщенный расчет'!$G9)</f>
        <v>216624.6207524272</v>
      </c>
      <c r="G37" s="46">
        <f>G15/(1+'Обобщенный расчет'!$G9)</f>
        <v>232670.88895631072</v>
      </c>
      <c r="H37" s="46">
        <f>H15/(1+'Обобщенный расчет'!$G9)</f>
        <v>184532.08434466022</v>
      </c>
      <c r="I37" s="46">
        <f>I15/(1+'Обобщенный расчет'!$G9)</f>
        <v>192555.21844660197</v>
      </c>
      <c r="J37" s="46">
        <f>J15/(1+'Обобщенный расчет'!$G9)</f>
        <v>216624.6207524272</v>
      </c>
      <c r="K37" s="46">
        <f>K15/(1+'Обобщенный расчет'!$G9)</f>
        <v>216624.6207524272</v>
      </c>
      <c r="L37" s="46">
        <f>L15/(1+'Обобщенный расчет'!$G9)</f>
        <v>184532.08434466022</v>
      </c>
      <c r="M37" s="46">
        <f>M15/(1+'Обобщенный расчет'!$G9)</f>
        <v>208601.48665048549</v>
      </c>
      <c r="N37" s="46">
        <f>N15/(1+'Обобщенный расчет'!$G9)</f>
        <v>192555.21844660197</v>
      </c>
      <c r="O37" s="46">
        <f>O15/(1+'Обобщенный расчет'!$G9)</f>
        <v>184532.08434466022</v>
      </c>
      <c r="P37" s="185">
        <f t="shared" ref="P37:P51" si="112">SUM(D37:O37)</f>
        <v>2479148.4375000005</v>
      </c>
      <c r="Q37" s="185">
        <f t="shared" ref="Q37:Q51" si="113">P37/12</f>
        <v>206595.70312500003</v>
      </c>
      <c r="R37" s="46">
        <f>R15/(1+'Обобщенный расчет'!$G9)</f>
        <v>192555.21844660197</v>
      </c>
      <c r="S37" s="46">
        <f>S15/(1+'Обобщенный расчет'!$G9)</f>
        <v>256740.29126213599</v>
      </c>
      <c r="T37" s="46">
        <f>T15/(1+'Обобщенный расчет'!$G9)</f>
        <v>216624.6207524272</v>
      </c>
      <c r="U37" s="46">
        <f>U15/(1+'Обобщенный расчет'!$G9)</f>
        <v>232670.88895631072</v>
      </c>
      <c r="V37" s="46">
        <f>V15/(1+'Обобщенный расчет'!$G9)</f>
        <v>184532.08434466022</v>
      </c>
      <c r="W37" s="46">
        <f>W15/(1+'Обобщенный расчет'!$G9)</f>
        <v>192555.21844660197</v>
      </c>
      <c r="X37" s="46">
        <f>X15/(1+'Обобщенный расчет'!$G9)</f>
        <v>216624.6207524272</v>
      </c>
      <c r="Y37" s="46">
        <f>Y15/(1+'Обобщенный расчет'!$G9)</f>
        <v>216624.6207524272</v>
      </c>
      <c r="Z37" s="46">
        <f>Z15/(1+'Обобщенный расчет'!$G9)</f>
        <v>184532.08434466022</v>
      </c>
      <c r="AA37" s="46">
        <f>AA15/(1+'Обобщенный расчет'!$G9)</f>
        <v>208601.48665048549</v>
      </c>
      <c r="AB37" s="46">
        <f>AB15/(1+'Обобщенный расчет'!$G9)</f>
        <v>192555.21844660197</v>
      </c>
      <c r="AC37" s="46">
        <f>AC15/(1+'Обобщенный расчет'!$G9)</f>
        <v>184532.08434466022</v>
      </c>
      <c r="AD37" s="185">
        <f t="shared" ref="AD37:AD45" si="114">SUM(R37:AC37)</f>
        <v>2479148.4375000005</v>
      </c>
      <c r="AE37" s="185">
        <f t="shared" ref="AE37:AE45" si="115">AD37/12</f>
        <v>206595.70312500003</v>
      </c>
      <c r="AF37" s="46">
        <f>AF15/(1+'Обобщенный расчет'!$G9)</f>
        <v>192555.21844660197</v>
      </c>
      <c r="AG37" s="46">
        <f>AG15/(1+'Обобщенный расчет'!$G9)</f>
        <v>256740.29126213599</v>
      </c>
      <c r="AH37" s="46">
        <f>AH15/(1+'Обобщенный расчет'!$G9)</f>
        <v>216624.6207524272</v>
      </c>
      <c r="AI37" s="46">
        <f>AI15/(1+'Обобщенный расчет'!$G9)</f>
        <v>232670.88895631072</v>
      </c>
      <c r="AJ37" s="46">
        <f>AJ15/(1+'Обобщенный расчет'!$G9)</f>
        <v>184532.08434466022</v>
      </c>
      <c r="AK37" s="46">
        <f>AK15/(1+'Обобщенный расчет'!$G9)</f>
        <v>192555.21844660197</v>
      </c>
      <c r="AL37" s="46">
        <f>AL15/(1+'Обобщенный расчет'!$G9)</f>
        <v>216624.6207524272</v>
      </c>
      <c r="AM37" s="46">
        <f>AM15/(1+'Обобщенный расчет'!$G9)</f>
        <v>216624.6207524272</v>
      </c>
      <c r="AN37" s="46">
        <f>AN15/(1+'Обобщенный расчет'!$G9)</f>
        <v>184532.08434466022</v>
      </c>
      <c r="AO37" s="46">
        <f>AO15/(1+'Обобщенный расчет'!$G9)</f>
        <v>208601.48665048549</v>
      </c>
      <c r="AP37" s="46">
        <f>AP15/(1+'Обобщенный расчет'!$G9)</f>
        <v>192555.21844660197</v>
      </c>
      <c r="AQ37" s="46">
        <f>AQ15/(1+'Обобщенный расчет'!$G9)</f>
        <v>184532.08434466022</v>
      </c>
      <c r="AR37" s="185">
        <f t="shared" ref="AR37:AR45" si="116">SUM(AF37:AQ37)</f>
        <v>2479148.4375000005</v>
      </c>
      <c r="AS37" s="185">
        <f t="shared" ref="AS37:AS45" si="117">AR37/12</f>
        <v>206595.70312500003</v>
      </c>
      <c r="AT37" s="185">
        <f t="shared" ref="AT37:AT53" si="118">P37+AD37+AR37</f>
        <v>7437445.3125000019</v>
      </c>
      <c r="AU37" s="47"/>
    </row>
    <row r="38" spans="1:47" s="51" customFormat="1" ht="11.25">
      <c r="A38" s="36" t="str">
        <f t="shared" si="111"/>
        <v>Напитки холодные</v>
      </c>
      <c r="B38" s="37" t="s">
        <v>105</v>
      </c>
      <c r="C38" s="37"/>
      <c r="D38" s="49">
        <f>D16/(1+'Обобщенный расчет'!$G11)</f>
        <v>117770.77580831925</v>
      </c>
      <c r="E38" s="49">
        <f>E16/(1+'Обобщенный расчет'!$G11)</f>
        <v>157027.701077759</v>
      </c>
      <c r="F38" s="49">
        <f>F16/(1+'Обобщенный расчет'!$G11)</f>
        <v>132492.12278435915</v>
      </c>
      <c r="G38" s="49">
        <f>G16/(1+'Обобщенный расчет'!$G11)</f>
        <v>142306.3541017191</v>
      </c>
      <c r="H38" s="49">
        <f>H16/(1+'Обобщенный расчет'!$G11)</f>
        <v>112863.6601496393</v>
      </c>
      <c r="I38" s="49">
        <f>I16/(1+'Обобщенный расчет'!$G11)</f>
        <v>117770.77580831925</v>
      </c>
      <c r="J38" s="49">
        <f>J16/(1+'Обобщенный расчет'!$G11)</f>
        <v>132492.12278435915</v>
      </c>
      <c r="K38" s="49">
        <f>K16/(1+'Обобщенный расчет'!$G11)</f>
        <v>132492.12278435915</v>
      </c>
      <c r="L38" s="49">
        <f>L16/(1+'Обобщенный расчет'!$G11)</f>
        <v>112863.6601496393</v>
      </c>
      <c r="M38" s="49">
        <f>M16/(1+'Обобщенный расчет'!$G11)</f>
        <v>127585.0071256792</v>
      </c>
      <c r="N38" s="49">
        <f>N16/(1+'Обобщенный расчет'!$G11)</f>
        <v>117770.77580831925</v>
      </c>
      <c r="O38" s="49">
        <f>O16/(1+'Обобщенный расчет'!$G11)</f>
        <v>112863.6601496393</v>
      </c>
      <c r="P38" s="79">
        <f t="shared" si="112"/>
        <v>1516298.7385321101</v>
      </c>
      <c r="Q38" s="79">
        <f t="shared" si="113"/>
        <v>126358.22821100918</v>
      </c>
      <c r="R38" s="49">
        <f>R16/(1+'Обобщенный расчет'!$G11)</f>
        <v>117770.77580831925</v>
      </c>
      <c r="S38" s="49">
        <f>S16/(1+'Обобщенный расчет'!$G11)</f>
        <v>157027.701077759</v>
      </c>
      <c r="T38" s="49">
        <f>T16/(1+'Обобщенный расчет'!$G11)</f>
        <v>132492.12278435915</v>
      </c>
      <c r="U38" s="49">
        <f>U16/(1+'Обобщенный расчет'!$G11)</f>
        <v>142306.3541017191</v>
      </c>
      <c r="V38" s="49">
        <f>V16/(1+'Обобщенный расчет'!$G11)</f>
        <v>112863.6601496393</v>
      </c>
      <c r="W38" s="49">
        <f>W16/(1+'Обобщенный расчет'!$G11)</f>
        <v>117770.77580831925</v>
      </c>
      <c r="X38" s="49">
        <f>X16/(1+'Обобщенный расчет'!$G11)</f>
        <v>132492.12278435915</v>
      </c>
      <c r="Y38" s="49">
        <f>Y16/(1+'Обобщенный расчет'!$G11)</f>
        <v>132492.12278435915</v>
      </c>
      <c r="Z38" s="49">
        <f>Z16/(1+'Обобщенный расчет'!$G11)</f>
        <v>112863.6601496393</v>
      </c>
      <c r="AA38" s="49">
        <f>AA16/(1+'Обобщенный расчет'!$G11)</f>
        <v>127585.0071256792</v>
      </c>
      <c r="AB38" s="49">
        <f>AB16/(1+'Обобщенный расчет'!$G11)</f>
        <v>117770.77580831925</v>
      </c>
      <c r="AC38" s="49">
        <f>AC16/(1+'Обобщенный расчет'!$G11)</f>
        <v>112863.6601496393</v>
      </c>
      <c r="AD38" s="79">
        <f t="shared" si="114"/>
        <v>1516298.7385321101</v>
      </c>
      <c r="AE38" s="79">
        <f t="shared" si="115"/>
        <v>126358.22821100918</v>
      </c>
      <c r="AF38" s="49">
        <f>AF16/(1+'Обобщенный расчет'!$G11)</f>
        <v>117770.77580831925</v>
      </c>
      <c r="AG38" s="49">
        <f>AG16/(1+'Обобщенный расчет'!$G11)</f>
        <v>157027.701077759</v>
      </c>
      <c r="AH38" s="49">
        <f>AH16/(1+'Обобщенный расчет'!$G11)</f>
        <v>132492.12278435915</v>
      </c>
      <c r="AI38" s="49">
        <f>AI16/(1+'Обобщенный расчет'!$G11)</f>
        <v>142306.3541017191</v>
      </c>
      <c r="AJ38" s="49">
        <f>AJ16/(1+'Обобщенный расчет'!$G11)</f>
        <v>112863.6601496393</v>
      </c>
      <c r="AK38" s="49">
        <f>AK16/(1+'Обобщенный расчет'!$G11)</f>
        <v>117770.77580831925</v>
      </c>
      <c r="AL38" s="49">
        <f>AL16/(1+'Обобщенный расчет'!$G11)</f>
        <v>132492.12278435915</v>
      </c>
      <c r="AM38" s="49">
        <f>AM16/(1+'Обобщенный расчет'!$G11)</f>
        <v>132492.12278435915</v>
      </c>
      <c r="AN38" s="49">
        <f>AN16/(1+'Обобщенный расчет'!$G11)</f>
        <v>112863.6601496393</v>
      </c>
      <c r="AO38" s="49">
        <f>AO16/(1+'Обобщенный расчет'!$G11)</f>
        <v>127585.0071256792</v>
      </c>
      <c r="AP38" s="49">
        <f>AP16/(1+'Обобщенный расчет'!$G11)</f>
        <v>117770.77580831925</v>
      </c>
      <c r="AQ38" s="49">
        <f>AQ16/(1+'Обобщенный расчет'!$G11)</f>
        <v>112863.6601496393</v>
      </c>
      <c r="AR38" s="79">
        <f t="shared" si="116"/>
        <v>1516298.7385321101</v>
      </c>
      <c r="AS38" s="79">
        <f t="shared" si="117"/>
        <v>126358.22821100918</v>
      </c>
      <c r="AT38" s="79">
        <f t="shared" si="118"/>
        <v>4548896.2155963304</v>
      </c>
      <c r="AU38" s="50"/>
    </row>
    <row r="39" spans="1:47" s="48" customFormat="1" ht="11.25">
      <c r="A39" s="32" t="str">
        <f t="shared" si="111"/>
        <v>Хот-доги, роллы</v>
      </c>
      <c r="B39" s="33" t="s">
        <v>105</v>
      </c>
      <c r="C39" s="33"/>
      <c r="D39" s="46">
        <f>D17/(1+'Обобщенный расчет'!$G12)</f>
        <v>97805.825242718449</v>
      </c>
      <c r="E39" s="46">
        <f>E17/(1+'Обобщенный расчет'!$G12)</f>
        <v>130407.76699029127</v>
      </c>
      <c r="F39" s="46">
        <f>F17/(1+'Обобщенный расчет'!$G12)</f>
        <v>110031.55339805824</v>
      </c>
      <c r="G39" s="46">
        <f>G17/(1+'Обобщенный расчет'!$G12)</f>
        <v>118182.03883495145</v>
      </c>
      <c r="H39" s="46">
        <f>H17/(1+'Обобщенный расчет'!$G12)</f>
        <v>93730.582524271857</v>
      </c>
      <c r="I39" s="46">
        <f>I17/(1+'Обобщенный расчет'!$G12)</f>
        <v>97805.825242718449</v>
      </c>
      <c r="J39" s="46">
        <f>J17/(1+'Обобщенный расчет'!$G12)</f>
        <v>110031.55339805824</v>
      </c>
      <c r="K39" s="46">
        <f>K17/(1+'Обобщенный расчет'!$G12)</f>
        <v>110031.55339805824</v>
      </c>
      <c r="L39" s="46">
        <f>L17/(1+'Обобщенный расчет'!$G12)</f>
        <v>93730.582524271857</v>
      </c>
      <c r="M39" s="46">
        <f>M17/(1+'Обобщенный расчет'!$G12)</f>
        <v>105956.31067961166</v>
      </c>
      <c r="N39" s="46">
        <f>N17/(1+'Обобщенный расчет'!$G12)</f>
        <v>97805.825242718449</v>
      </c>
      <c r="O39" s="46">
        <f>O17/(1+'Обобщенный расчет'!$G12)</f>
        <v>93730.582524271857</v>
      </c>
      <c r="P39" s="185">
        <f t="shared" si="112"/>
        <v>1259250.0000000002</v>
      </c>
      <c r="Q39" s="185">
        <f t="shared" si="113"/>
        <v>104937.50000000001</v>
      </c>
      <c r="R39" s="46">
        <f>R17/(1+'Обобщенный расчет'!$G12)</f>
        <v>97805.825242718449</v>
      </c>
      <c r="S39" s="46">
        <f>S17/(1+'Обобщенный расчет'!$G12)</f>
        <v>130407.76699029127</v>
      </c>
      <c r="T39" s="46">
        <f>T17/(1+'Обобщенный расчет'!$G12)</f>
        <v>110031.55339805824</v>
      </c>
      <c r="U39" s="46">
        <f>U17/(1+'Обобщенный расчет'!$G12)</f>
        <v>118182.03883495145</v>
      </c>
      <c r="V39" s="46">
        <f>V17/(1+'Обобщенный расчет'!$G12)</f>
        <v>93730.582524271857</v>
      </c>
      <c r="W39" s="46">
        <f>W17/(1+'Обобщенный расчет'!$G12)</f>
        <v>97805.825242718449</v>
      </c>
      <c r="X39" s="46">
        <f>X17/(1+'Обобщенный расчет'!$G12)</f>
        <v>110031.55339805824</v>
      </c>
      <c r="Y39" s="46">
        <f>Y17/(1+'Обобщенный расчет'!$G12)</f>
        <v>110031.55339805824</v>
      </c>
      <c r="Z39" s="46">
        <f>Z17/(1+'Обобщенный расчет'!$G12)</f>
        <v>93730.582524271857</v>
      </c>
      <c r="AA39" s="46">
        <f>AA17/(1+'Обобщенный расчет'!$G12)</f>
        <v>105956.31067961166</v>
      </c>
      <c r="AB39" s="46">
        <f>AB17/(1+'Обобщенный расчет'!$G12)</f>
        <v>97805.825242718449</v>
      </c>
      <c r="AC39" s="46">
        <f>AC17/(1+'Обобщенный расчет'!$G12)</f>
        <v>93730.582524271857</v>
      </c>
      <c r="AD39" s="185">
        <f t="shared" si="114"/>
        <v>1259250.0000000002</v>
      </c>
      <c r="AE39" s="185">
        <f t="shared" si="115"/>
        <v>104937.50000000001</v>
      </c>
      <c r="AF39" s="46">
        <f>AF17/(1+'Обобщенный расчет'!$G12)</f>
        <v>97805.825242718449</v>
      </c>
      <c r="AG39" s="46">
        <f>AG17/(1+'Обобщенный расчет'!$G12)</f>
        <v>130407.76699029127</v>
      </c>
      <c r="AH39" s="46">
        <f>AH17/(1+'Обобщенный расчет'!$G12)</f>
        <v>110031.55339805824</v>
      </c>
      <c r="AI39" s="46">
        <f>AI17/(1+'Обобщенный расчет'!$G12)</f>
        <v>118182.03883495145</v>
      </c>
      <c r="AJ39" s="46">
        <f>AJ17/(1+'Обобщенный расчет'!$G12)</f>
        <v>93730.582524271857</v>
      </c>
      <c r="AK39" s="46">
        <f>AK17/(1+'Обобщенный расчет'!$G12)</f>
        <v>97805.825242718449</v>
      </c>
      <c r="AL39" s="46">
        <f>AL17/(1+'Обобщенный расчет'!$G12)</f>
        <v>110031.55339805824</v>
      </c>
      <c r="AM39" s="46">
        <f>AM17/(1+'Обобщенный расчет'!$G12)</f>
        <v>110031.55339805824</v>
      </c>
      <c r="AN39" s="46">
        <f>AN17/(1+'Обобщенный расчет'!$G12)</f>
        <v>93730.582524271857</v>
      </c>
      <c r="AO39" s="46">
        <f>AO17/(1+'Обобщенный расчет'!$G12)</f>
        <v>105956.31067961166</v>
      </c>
      <c r="AP39" s="46">
        <f>AP17/(1+'Обобщенный расчет'!$G12)</f>
        <v>97805.825242718449</v>
      </c>
      <c r="AQ39" s="46">
        <f>AQ17/(1+'Обобщенный расчет'!$G12)</f>
        <v>93730.582524271857</v>
      </c>
      <c r="AR39" s="185">
        <f t="shared" si="116"/>
        <v>1259250.0000000002</v>
      </c>
      <c r="AS39" s="185">
        <f t="shared" si="117"/>
        <v>104937.50000000001</v>
      </c>
      <c r="AT39" s="185">
        <f t="shared" si="118"/>
        <v>3777750.0000000009</v>
      </c>
      <c r="AU39" s="47"/>
    </row>
    <row r="40" spans="1:47" s="51" customFormat="1" ht="11.25">
      <c r="A40" s="36" t="str">
        <f t="shared" si="111"/>
        <v>Салаты, Сопут. товар</v>
      </c>
      <c r="B40" s="37" t="s">
        <v>105</v>
      </c>
      <c r="C40" s="37"/>
      <c r="D40" s="49">
        <f>D18/(1+'Обобщенный расчет'!$G13)</f>
        <v>6091.1101129806857</v>
      </c>
      <c r="E40" s="49">
        <f>E18/(1+'Обобщенный расчет'!$G13)</f>
        <v>8121.4801506409158</v>
      </c>
      <c r="F40" s="49">
        <f>F18/(1+'Обобщенный расчет'!$G13)</f>
        <v>6852.4988771032713</v>
      </c>
      <c r="G40" s="49">
        <f>G18/(1+'Обобщенный расчет'!$G13)</f>
        <v>7360.0913865183284</v>
      </c>
      <c r="H40" s="49">
        <f>H18/(1+'Обобщенный расчет'!$G13)</f>
        <v>5837.313858273159</v>
      </c>
      <c r="I40" s="49">
        <f>I18/(1+'Обобщенный расчет'!$G13)</f>
        <v>6091.1101129806857</v>
      </c>
      <c r="J40" s="49">
        <f>J18/(1+'Обобщенный расчет'!$G13)</f>
        <v>6852.4988771032713</v>
      </c>
      <c r="K40" s="49">
        <f>K18/(1+'Обобщенный расчет'!$G13)</f>
        <v>6852.4988771032713</v>
      </c>
      <c r="L40" s="49">
        <f>L18/(1+'Обобщенный расчет'!$G13)</f>
        <v>5837.313858273159</v>
      </c>
      <c r="M40" s="49">
        <f>M18/(1+'Обобщенный расчет'!$G13)</f>
        <v>6598.7026223957437</v>
      </c>
      <c r="N40" s="49">
        <f>N18/(1+'Обобщенный расчет'!$G13)</f>
        <v>6091.1101129806857</v>
      </c>
      <c r="O40" s="49">
        <f>O18/(1+'Обобщенный расчет'!$G13)</f>
        <v>5837.313858273159</v>
      </c>
      <c r="P40" s="79">
        <f t="shared" si="112"/>
        <v>78423.042704626336</v>
      </c>
      <c r="Q40" s="79">
        <f t="shared" si="113"/>
        <v>6535.2535587188613</v>
      </c>
      <c r="R40" s="49">
        <f>R18/(1+'Обобщенный расчет'!$G13)</f>
        <v>6091.1101129806857</v>
      </c>
      <c r="S40" s="49">
        <f>S18/(1+'Обобщенный расчет'!$G13)</f>
        <v>8121.4801506409158</v>
      </c>
      <c r="T40" s="49">
        <f>T18/(1+'Обобщенный расчет'!$G13)</f>
        <v>6852.4988771032713</v>
      </c>
      <c r="U40" s="49">
        <f>U18/(1+'Обобщенный расчет'!$G13)</f>
        <v>7360.0913865183284</v>
      </c>
      <c r="V40" s="49">
        <f>V18/(1+'Обобщенный расчет'!$G13)</f>
        <v>5837.313858273159</v>
      </c>
      <c r="W40" s="49">
        <f>W18/(1+'Обобщенный расчет'!$G13)</f>
        <v>6091.1101129806857</v>
      </c>
      <c r="X40" s="49">
        <f>X18/(1+'Обобщенный расчет'!$G13)</f>
        <v>6852.4988771032713</v>
      </c>
      <c r="Y40" s="49">
        <f>Y18/(1+'Обобщенный расчет'!$G13)</f>
        <v>6852.4988771032713</v>
      </c>
      <c r="Z40" s="49">
        <f>Z18/(1+'Обобщенный расчет'!$G13)</f>
        <v>5837.313858273159</v>
      </c>
      <c r="AA40" s="49">
        <f>AA18/(1+'Обобщенный расчет'!$G13)</f>
        <v>6598.7026223957437</v>
      </c>
      <c r="AB40" s="49">
        <f>AB18/(1+'Обобщенный расчет'!$G13)</f>
        <v>6091.1101129806857</v>
      </c>
      <c r="AC40" s="49">
        <f>AC18/(1+'Обобщенный расчет'!$G13)</f>
        <v>5837.313858273159</v>
      </c>
      <c r="AD40" s="79">
        <f t="shared" si="114"/>
        <v>78423.042704626336</v>
      </c>
      <c r="AE40" s="79">
        <f t="shared" si="115"/>
        <v>6535.2535587188613</v>
      </c>
      <c r="AF40" s="49">
        <f>AF18/(1+'Обобщенный расчет'!$G13)</f>
        <v>6091.1101129806857</v>
      </c>
      <c r="AG40" s="49">
        <f>AG18/(1+'Обобщенный расчет'!$G13)</f>
        <v>8121.4801506409158</v>
      </c>
      <c r="AH40" s="49">
        <f>AH18/(1+'Обобщенный расчет'!$G13)</f>
        <v>6852.4988771032713</v>
      </c>
      <c r="AI40" s="49">
        <f>AI18/(1+'Обобщенный расчет'!$G13)</f>
        <v>7360.0913865183284</v>
      </c>
      <c r="AJ40" s="49">
        <f>AJ18/(1+'Обобщенный расчет'!$G13)</f>
        <v>5837.313858273159</v>
      </c>
      <c r="AK40" s="49">
        <f>AK18/(1+'Обобщенный расчет'!$G13)</f>
        <v>6091.1101129806857</v>
      </c>
      <c r="AL40" s="49">
        <f>AL18/(1+'Обобщенный расчет'!$G13)</f>
        <v>6852.4988771032713</v>
      </c>
      <c r="AM40" s="49">
        <f>AM18/(1+'Обобщенный расчет'!$G13)</f>
        <v>6852.4988771032713</v>
      </c>
      <c r="AN40" s="49">
        <f>AN18/(1+'Обобщенный расчет'!$G13)</f>
        <v>5837.313858273159</v>
      </c>
      <c r="AO40" s="49">
        <f>AO18/(1+'Обобщенный расчет'!$G13)</f>
        <v>6598.7026223957437</v>
      </c>
      <c r="AP40" s="49">
        <f>AP18/(1+'Обобщенный расчет'!$G13)</f>
        <v>6091.1101129806857</v>
      </c>
      <c r="AQ40" s="49">
        <f>AQ18/(1+'Обобщенный расчет'!$G13)</f>
        <v>5837.313858273159</v>
      </c>
      <c r="AR40" s="79">
        <f t="shared" si="116"/>
        <v>78423.042704626336</v>
      </c>
      <c r="AS40" s="79">
        <f t="shared" si="117"/>
        <v>6535.2535587188613</v>
      </c>
      <c r="AT40" s="79">
        <f t="shared" si="118"/>
        <v>235269.12811387901</v>
      </c>
      <c r="AU40" s="50"/>
    </row>
    <row r="41" spans="1:47" s="48" customFormat="1" ht="11.25">
      <c r="A41" s="32" t="str">
        <f t="shared" si="111"/>
        <v>Десерты</v>
      </c>
      <c r="B41" s="33" t="s">
        <v>105</v>
      </c>
      <c r="C41" s="33"/>
      <c r="D41" s="46">
        <f>D19/(1+'Обобщенный расчет'!$G14)</f>
        <v>18523.830538393646</v>
      </c>
      <c r="E41" s="46">
        <f>E19/(1+'Обобщенный расчет'!$G14)</f>
        <v>24698.440717858193</v>
      </c>
      <c r="F41" s="46">
        <f>F19/(1+'Обобщенный расчет'!$G14)</f>
        <v>20839.309355692851</v>
      </c>
      <c r="G41" s="46">
        <f>G19/(1+'Обобщенный расчет'!$G14)</f>
        <v>22382.961900558988</v>
      </c>
      <c r="H41" s="46">
        <f>H19/(1+'Обобщенный расчет'!$G14)</f>
        <v>17752.004265960575</v>
      </c>
      <c r="I41" s="46">
        <f>I19/(1+'Обобщенный расчет'!$G14)</f>
        <v>18523.830538393646</v>
      </c>
      <c r="J41" s="46">
        <f>J19/(1+'Обобщенный расчет'!$G14)</f>
        <v>20839.309355692851</v>
      </c>
      <c r="K41" s="46">
        <f>K19/(1+'Обобщенный расчет'!$G14)</f>
        <v>20839.309355692851</v>
      </c>
      <c r="L41" s="46">
        <f>L19/(1+'Обобщенный расчет'!$G14)</f>
        <v>17752.004265960575</v>
      </c>
      <c r="M41" s="46">
        <f>M19/(1+'Обобщенный расчет'!$G14)</f>
        <v>20067.483083259784</v>
      </c>
      <c r="N41" s="46">
        <f>N19/(1+'Обобщенный расчет'!$G14)</f>
        <v>18523.830538393646</v>
      </c>
      <c r="O41" s="46">
        <f>O19/(1+'Обобщенный расчет'!$G14)</f>
        <v>17752.004265960575</v>
      </c>
      <c r="P41" s="185">
        <f t="shared" si="112"/>
        <v>238494.31818181815</v>
      </c>
      <c r="Q41" s="185">
        <f t="shared" si="113"/>
        <v>19874.526515151512</v>
      </c>
      <c r="R41" s="46">
        <f>R19/(1+'Обобщенный расчет'!$G14)</f>
        <v>18523.830538393646</v>
      </c>
      <c r="S41" s="46">
        <f>S19/(1+'Обобщенный расчет'!$G14)</f>
        <v>24698.440717858193</v>
      </c>
      <c r="T41" s="46">
        <f>T19/(1+'Обобщенный расчет'!$G14)</f>
        <v>20839.309355692851</v>
      </c>
      <c r="U41" s="46">
        <f>U19/(1+'Обобщенный расчет'!$G14)</f>
        <v>22382.961900558988</v>
      </c>
      <c r="V41" s="46">
        <f>V19/(1+'Обобщенный расчет'!$G14)</f>
        <v>17752.004265960575</v>
      </c>
      <c r="W41" s="46">
        <f>W19/(1+'Обобщенный расчет'!$G14)</f>
        <v>18523.830538393646</v>
      </c>
      <c r="X41" s="46">
        <f>X19/(1+'Обобщенный расчет'!$G14)</f>
        <v>20839.309355692851</v>
      </c>
      <c r="Y41" s="46">
        <f>Y19/(1+'Обобщенный расчет'!$G14)</f>
        <v>20839.309355692851</v>
      </c>
      <c r="Z41" s="46">
        <f>Z19/(1+'Обобщенный расчет'!$G14)</f>
        <v>17752.004265960575</v>
      </c>
      <c r="AA41" s="46">
        <f>AA19/(1+'Обобщенный расчет'!$G14)</f>
        <v>20067.483083259784</v>
      </c>
      <c r="AB41" s="46">
        <f>AB19/(1+'Обобщенный расчет'!$G14)</f>
        <v>18523.830538393646</v>
      </c>
      <c r="AC41" s="46">
        <f>AC19/(1+'Обобщенный расчет'!$G14)</f>
        <v>17752.004265960575</v>
      </c>
      <c r="AD41" s="185">
        <f t="shared" si="114"/>
        <v>238494.31818181815</v>
      </c>
      <c r="AE41" s="185">
        <f t="shared" si="115"/>
        <v>19874.526515151512</v>
      </c>
      <c r="AF41" s="46">
        <f>AF19/(1+'Обобщенный расчет'!$G14)</f>
        <v>18523.830538393646</v>
      </c>
      <c r="AG41" s="46">
        <f>AG19/(1+'Обобщенный расчет'!$G14)</f>
        <v>24698.440717858193</v>
      </c>
      <c r="AH41" s="46">
        <f>AH19/(1+'Обобщенный расчет'!$G14)</f>
        <v>20839.309355692851</v>
      </c>
      <c r="AI41" s="46">
        <f>AI19/(1+'Обобщенный расчет'!$G14)</f>
        <v>22382.961900558988</v>
      </c>
      <c r="AJ41" s="46">
        <f>AJ19/(1+'Обобщенный расчет'!$G14)</f>
        <v>17752.004265960575</v>
      </c>
      <c r="AK41" s="46">
        <f>AK19/(1+'Обобщенный расчет'!$G14)</f>
        <v>18523.830538393646</v>
      </c>
      <c r="AL41" s="46">
        <f>AL19/(1+'Обобщенный расчет'!$G14)</f>
        <v>20839.309355692851</v>
      </c>
      <c r="AM41" s="46">
        <f>AM19/(1+'Обобщенный расчет'!$G14)</f>
        <v>20839.309355692851</v>
      </c>
      <c r="AN41" s="46">
        <f>AN19/(1+'Обобщенный расчет'!$G14)</f>
        <v>17752.004265960575</v>
      </c>
      <c r="AO41" s="46">
        <f>AO19/(1+'Обобщенный расчет'!$G14)</f>
        <v>20067.483083259784</v>
      </c>
      <c r="AP41" s="46">
        <f>AP19/(1+'Обобщенный расчет'!$G14)</f>
        <v>18523.830538393646</v>
      </c>
      <c r="AQ41" s="46">
        <f>AQ19/(1+'Обобщенный расчет'!$G14)</f>
        <v>17752.004265960575</v>
      </c>
      <c r="AR41" s="185">
        <f t="shared" si="116"/>
        <v>238494.31818181815</v>
      </c>
      <c r="AS41" s="185">
        <f t="shared" si="117"/>
        <v>19874.526515151512</v>
      </c>
      <c r="AT41" s="185">
        <f t="shared" si="118"/>
        <v>715482.95454545447</v>
      </c>
      <c r="AU41" s="47"/>
    </row>
    <row r="42" spans="1:47" s="51" customFormat="1" ht="11.25">
      <c r="A42" s="36" t="str">
        <f t="shared" si="111"/>
        <v>Гарниры/Фри</v>
      </c>
      <c r="B42" s="37" t="s">
        <v>105</v>
      </c>
      <c r="C42" s="37"/>
      <c r="D42" s="49">
        <f>D20/(1+'Обобщенный расчет'!$G15)</f>
        <v>119812.1359223301</v>
      </c>
      <c r="E42" s="49">
        <f>E20/(1+'Обобщенный расчет'!$G15)</f>
        <v>159749.51456310679</v>
      </c>
      <c r="F42" s="49">
        <f>F20/(1+'Обобщенный расчет'!$G15)</f>
        <v>134788.65291262136</v>
      </c>
      <c r="G42" s="49">
        <f>G20/(1+'Обобщенный расчет'!$G15)</f>
        <v>144772.99757281554</v>
      </c>
      <c r="H42" s="49">
        <f>H20/(1+'Обобщенный расчет'!$G15)</f>
        <v>114819.96359223302</v>
      </c>
      <c r="I42" s="49">
        <f>I20/(1+'Обобщенный расчет'!$G15)</f>
        <v>119812.1359223301</v>
      </c>
      <c r="J42" s="49">
        <f>J20/(1+'Обобщенный расчет'!$G15)</f>
        <v>134788.65291262136</v>
      </c>
      <c r="K42" s="49">
        <f>K20/(1+'Обобщенный расчет'!$G15)</f>
        <v>134788.65291262136</v>
      </c>
      <c r="L42" s="49">
        <f>L20/(1+'Обобщенный расчет'!$G15)</f>
        <v>114819.96359223302</v>
      </c>
      <c r="M42" s="49">
        <f>M20/(1+'Обобщенный расчет'!$G15)</f>
        <v>129796.48058252428</v>
      </c>
      <c r="N42" s="49">
        <f>N20/(1+'Обобщенный расчет'!$G15)</f>
        <v>119812.1359223301</v>
      </c>
      <c r="O42" s="49">
        <f>O20/(1+'Обобщенный расчет'!$G15)</f>
        <v>114819.96359223302</v>
      </c>
      <c r="P42" s="79">
        <f t="shared" si="112"/>
        <v>1542581.2500000005</v>
      </c>
      <c r="Q42" s="79">
        <f t="shared" si="113"/>
        <v>128548.43750000004</v>
      </c>
      <c r="R42" s="49">
        <f>R20/(1+'Обобщенный расчет'!$G15)</f>
        <v>119812.1359223301</v>
      </c>
      <c r="S42" s="49">
        <f>S20/(1+'Обобщенный расчет'!$G15)</f>
        <v>159749.51456310679</v>
      </c>
      <c r="T42" s="49">
        <f>T20/(1+'Обобщенный расчет'!$G15)</f>
        <v>134788.65291262136</v>
      </c>
      <c r="U42" s="49">
        <f>U20/(1+'Обобщенный расчет'!$G15)</f>
        <v>144772.99757281554</v>
      </c>
      <c r="V42" s="49">
        <f>V20/(1+'Обобщенный расчет'!$G15)</f>
        <v>114819.96359223302</v>
      </c>
      <c r="W42" s="49">
        <f>W20/(1+'Обобщенный расчет'!$G15)</f>
        <v>119812.1359223301</v>
      </c>
      <c r="X42" s="49">
        <f>X20/(1+'Обобщенный расчет'!$G15)</f>
        <v>134788.65291262136</v>
      </c>
      <c r="Y42" s="49">
        <f>Y20/(1+'Обобщенный расчет'!$G15)</f>
        <v>134788.65291262136</v>
      </c>
      <c r="Z42" s="49">
        <f>Z20/(1+'Обобщенный расчет'!$G15)</f>
        <v>114819.96359223302</v>
      </c>
      <c r="AA42" s="49">
        <f>AA20/(1+'Обобщенный расчет'!$G15)</f>
        <v>129796.48058252428</v>
      </c>
      <c r="AB42" s="49">
        <f>AB20/(1+'Обобщенный расчет'!$G15)</f>
        <v>119812.1359223301</v>
      </c>
      <c r="AC42" s="49">
        <f>AC20/(1+'Обобщенный расчет'!$G15)</f>
        <v>114819.96359223302</v>
      </c>
      <c r="AD42" s="79">
        <f t="shared" si="114"/>
        <v>1542581.2500000005</v>
      </c>
      <c r="AE42" s="79">
        <f t="shared" si="115"/>
        <v>128548.43750000004</v>
      </c>
      <c r="AF42" s="49">
        <f>AF20/(1+'Обобщенный расчет'!$G15)</f>
        <v>119812.1359223301</v>
      </c>
      <c r="AG42" s="49">
        <f>AG20/(1+'Обобщенный расчет'!$G15)</f>
        <v>159749.51456310679</v>
      </c>
      <c r="AH42" s="49">
        <f>AH20/(1+'Обобщенный расчет'!$G15)</f>
        <v>134788.65291262136</v>
      </c>
      <c r="AI42" s="49">
        <f>AI20/(1+'Обобщенный расчет'!$G15)</f>
        <v>144772.99757281554</v>
      </c>
      <c r="AJ42" s="49">
        <f>AJ20/(1+'Обобщенный расчет'!$G15)</f>
        <v>114819.96359223302</v>
      </c>
      <c r="AK42" s="49">
        <f>AK20/(1+'Обобщенный расчет'!$G15)</f>
        <v>119812.1359223301</v>
      </c>
      <c r="AL42" s="49">
        <f>AL20/(1+'Обобщенный расчет'!$G15)</f>
        <v>134788.65291262136</v>
      </c>
      <c r="AM42" s="49">
        <f>AM20/(1+'Обобщенный расчет'!$G15)</f>
        <v>134788.65291262136</v>
      </c>
      <c r="AN42" s="49">
        <f>AN20/(1+'Обобщенный расчет'!$G15)</f>
        <v>114819.96359223302</v>
      </c>
      <c r="AO42" s="49">
        <f>AO20/(1+'Обобщенный расчет'!$G15)</f>
        <v>129796.48058252428</v>
      </c>
      <c r="AP42" s="49">
        <f>AP20/(1+'Обобщенный расчет'!$G15)</f>
        <v>119812.1359223301</v>
      </c>
      <c r="AQ42" s="49">
        <f>AQ20/(1+'Обобщенный расчет'!$G15)</f>
        <v>114819.96359223302</v>
      </c>
      <c r="AR42" s="79">
        <f t="shared" si="116"/>
        <v>1542581.2500000005</v>
      </c>
      <c r="AS42" s="79">
        <f t="shared" si="117"/>
        <v>128548.43750000004</v>
      </c>
      <c r="AT42" s="79">
        <f t="shared" si="118"/>
        <v>4627743.7500000019</v>
      </c>
      <c r="AU42" s="50"/>
    </row>
    <row r="43" spans="1:47" s="48" customFormat="1" ht="11.25">
      <c r="A43" s="32" t="str">
        <f t="shared" si="111"/>
        <v>Наборы, сеты</v>
      </c>
      <c r="B43" s="33" t="s">
        <v>105</v>
      </c>
      <c r="C43" s="33"/>
      <c r="D43" s="46">
        <f>D21/(1+'Обобщенный расчет'!$G16)</f>
        <v>121713.91585760517</v>
      </c>
      <c r="E43" s="46">
        <f>E21/(1+'Обобщенный расчет'!$G16)</f>
        <v>162285.22114347358</v>
      </c>
      <c r="F43" s="46">
        <f>F21/(1+'Обобщенный расчет'!$G16)</f>
        <v>136928.15533980582</v>
      </c>
      <c r="G43" s="46">
        <f>G21/(1+'Обобщенный расчет'!$G16)</f>
        <v>147070.9816612729</v>
      </c>
      <c r="H43" s="46">
        <f>H21/(1+'Обобщенный расчет'!$G16)</f>
        <v>116642.50269687166</v>
      </c>
      <c r="I43" s="46">
        <f>I21/(1+'Обобщенный расчет'!$G16)</f>
        <v>121713.91585760517</v>
      </c>
      <c r="J43" s="46">
        <f>J21/(1+'Обобщенный расчет'!$G16)</f>
        <v>136928.15533980582</v>
      </c>
      <c r="K43" s="46">
        <f>K21/(1+'Обобщенный расчет'!$G16)</f>
        <v>136928.15533980582</v>
      </c>
      <c r="L43" s="46">
        <f>L21/(1+'Обобщенный расчет'!$G16)</f>
        <v>116642.50269687166</v>
      </c>
      <c r="M43" s="46">
        <f>M21/(1+'Обобщенный расчет'!$G16)</f>
        <v>131856.74217907229</v>
      </c>
      <c r="N43" s="46">
        <f>N21/(1+'Обобщенный расчет'!$G16)</f>
        <v>121713.91585760517</v>
      </c>
      <c r="O43" s="46">
        <f>O21/(1+'Обобщенный расчет'!$G16)</f>
        <v>116642.50269687166</v>
      </c>
      <c r="P43" s="185">
        <f t="shared" si="112"/>
        <v>1567066.666666667</v>
      </c>
      <c r="Q43" s="185">
        <f t="shared" si="113"/>
        <v>130588.88888888892</v>
      </c>
      <c r="R43" s="46">
        <f>R21/(1+'Обобщенный расчет'!$G16)</f>
        <v>121713.91585760517</v>
      </c>
      <c r="S43" s="46">
        <f>S21/(1+'Обобщенный расчет'!$G16)</f>
        <v>162285.22114347358</v>
      </c>
      <c r="T43" s="46">
        <f>T21/(1+'Обобщенный расчет'!$G16)</f>
        <v>136928.15533980582</v>
      </c>
      <c r="U43" s="46">
        <f>U21/(1+'Обобщенный расчет'!$G16)</f>
        <v>147070.9816612729</v>
      </c>
      <c r="V43" s="46">
        <f>V21/(1+'Обобщенный расчет'!$G16)</f>
        <v>116642.50269687166</v>
      </c>
      <c r="W43" s="46">
        <f>W21/(1+'Обобщенный расчет'!$G16)</f>
        <v>121713.91585760517</v>
      </c>
      <c r="X43" s="46">
        <f>X21/(1+'Обобщенный расчет'!$G16)</f>
        <v>136928.15533980582</v>
      </c>
      <c r="Y43" s="46">
        <f>Y21/(1+'Обобщенный расчет'!$G16)</f>
        <v>136928.15533980582</v>
      </c>
      <c r="Z43" s="46">
        <f>Z21/(1+'Обобщенный расчет'!$G16)</f>
        <v>116642.50269687166</v>
      </c>
      <c r="AA43" s="46">
        <f>AA21/(1+'Обобщенный расчет'!$G16)</f>
        <v>131856.74217907229</v>
      </c>
      <c r="AB43" s="46">
        <f>AB21/(1+'Обобщенный расчет'!$G16)</f>
        <v>121713.91585760517</v>
      </c>
      <c r="AC43" s="46">
        <f>AC21/(1+'Обобщенный расчет'!$G16)</f>
        <v>116642.50269687166</v>
      </c>
      <c r="AD43" s="185">
        <f t="shared" si="114"/>
        <v>1567066.666666667</v>
      </c>
      <c r="AE43" s="185">
        <f t="shared" si="115"/>
        <v>130588.88888888892</v>
      </c>
      <c r="AF43" s="46">
        <f>AF21/(1+'Обобщенный расчет'!$G16)</f>
        <v>121713.91585760517</v>
      </c>
      <c r="AG43" s="46">
        <f>AG21/(1+'Обобщенный расчет'!$G16)</f>
        <v>162285.22114347358</v>
      </c>
      <c r="AH43" s="46">
        <f>AH21/(1+'Обобщенный расчет'!$G16)</f>
        <v>136928.15533980582</v>
      </c>
      <c r="AI43" s="46">
        <f>AI21/(1+'Обобщенный расчет'!$G16)</f>
        <v>147070.9816612729</v>
      </c>
      <c r="AJ43" s="46">
        <f>AJ21/(1+'Обобщенный расчет'!$G16)</f>
        <v>116642.50269687166</v>
      </c>
      <c r="AK43" s="46">
        <f>AK21/(1+'Обобщенный расчет'!$G16)</f>
        <v>121713.91585760517</v>
      </c>
      <c r="AL43" s="46">
        <f>AL21/(1+'Обобщенный расчет'!$G16)</f>
        <v>136928.15533980582</v>
      </c>
      <c r="AM43" s="46">
        <f>AM21/(1+'Обобщенный расчет'!$G16)</f>
        <v>136928.15533980582</v>
      </c>
      <c r="AN43" s="46">
        <f>AN21/(1+'Обобщенный расчет'!$G16)</f>
        <v>116642.50269687166</v>
      </c>
      <c r="AO43" s="46">
        <f>AO21/(1+'Обобщенный расчет'!$G16)</f>
        <v>131856.74217907229</v>
      </c>
      <c r="AP43" s="46">
        <f>AP21/(1+'Обобщенный расчет'!$G16)</f>
        <v>121713.91585760517</v>
      </c>
      <c r="AQ43" s="46">
        <f>AQ21/(1+'Обобщенный расчет'!$G16)</f>
        <v>116642.50269687166</v>
      </c>
      <c r="AR43" s="185">
        <f t="shared" si="116"/>
        <v>1567066.666666667</v>
      </c>
      <c r="AS43" s="185">
        <f t="shared" si="117"/>
        <v>130588.88888888892</v>
      </c>
      <c r="AT43" s="185">
        <f t="shared" si="118"/>
        <v>4701200.0000000009</v>
      </c>
      <c r="AU43" s="47"/>
    </row>
    <row r="44" spans="1:47" s="51" customFormat="1" ht="11.25">
      <c r="A44" s="265" t="str">
        <f t="shared" si="111"/>
        <v>Пиво</v>
      </c>
      <c r="B44" s="266" t="s">
        <v>105</v>
      </c>
      <c r="C44" s="266"/>
      <c r="D44" s="267">
        <f>D22/(1+'Обобщенный расчет'!$G17)</f>
        <v>24926.241870110283</v>
      </c>
      <c r="E44" s="267">
        <f>E22/(1+'Обобщенный расчет'!$G17)</f>
        <v>33234.989160147052</v>
      </c>
      <c r="F44" s="267">
        <f>F22/(1+'Обобщенный расчет'!$G17)</f>
        <v>28042.022103874067</v>
      </c>
      <c r="G44" s="267">
        <f>G22/(1+'Обобщенный расчет'!$G17)</f>
        <v>30119.20892638326</v>
      </c>
      <c r="H44" s="267">
        <f>H22/(1+'Обобщенный расчет'!$G17)</f>
        <v>23887.648458855689</v>
      </c>
      <c r="I44" s="267">
        <f>I22/(1+'Обобщенный расчет'!$G17)</f>
        <v>24926.241870110283</v>
      </c>
      <c r="J44" s="267">
        <f>J22/(1+'Обобщенный расчет'!$G17)</f>
        <v>28042.022103874067</v>
      </c>
      <c r="K44" s="267">
        <f>K22/(1+'Обобщенный расчет'!$G17)</f>
        <v>28042.022103874067</v>
      </c>
      <c r="L44" s="267">
        <f>L22/(1+'Обобщенный расчет'!$G17)</f>
        <v>23887.648458855689</v>
      </c>
      <c r="M44" s="267">
        <f>M22/(1+'Обобщенный расчет'!$G17)</f>
        <v>27003.428692619476</v>
      </c>
      <c r="N44" s="267">
        <f>N22/(1+'Обобщенный расчет'!$G17)</f>
        <v>24926.241870110283</v>
      </c>
      <c r="O44" s="267">
        <f>O22/(1+'Обобщенный расчет'!$G17)</f>
        <v>23887.648458855689</v>
      </c>
      <c r="P44" s="268">
        <f t="shared" si="112"/>
        <v>320925.36407766992</v>
      </c>
      <c r="Q44" s="268">
        <f t="shared" si="113"/>
        <v>26743.780339805828</v>
      </c>
      <c r="R44" s="267">
        <f>R22/(1+'Обобщенный расчет'!$G17)</f>
        <v>24926.241870110283</v>
      </c>
      <c r="S44" s="267">
        <f>S22/(1+'Обобщенный расчет'!$G17)</f>
        <v>33234.989160147052</v>
      </c>
      <c r="T44" s="267">
        <f>T22/(1+'Обобщенный расчет'!$G17)</f>
        <v>28042.022103874067</v>
      </c>
      <c r="U44" s="267">
        <f>U22/(1+'Обобщенный расчет'!$G17)</f>
        <v>30119.20892638326</v>
      </c>
      <c r="V44" s="267">
        <f>V22/(1+'Обобщенный расчет'!$G17)</f>
        <v>23887.648458855689</v>
      </c>
      <c r="W44" s="267">
        <f>W22/(1+'Обобщенный расчет'!$G17)</f>
        <v>24926.241870110283</v>
      </c>
      <c r="X44" s="267">
        <f>X22/(1+'Обобщенный расчет'!$G17)</f>
        <v>28042.022103874067</v>
      </c>
      <c r="Y44" s="267">
        <f>Y22/(1+'Обобщенный расчет'!$G17)</f>
        <v>28042.022103874067</v>
      </c>
      <c r="Z44" s="267">
        <f>Z22/(1+'Обобщенный расчет'!$G17)</f>
        <v>23887.648458855689</v>
      </c>
      <c r="AA44" s="267">
        <f>AA22/(1+'Обобщенный расчет'!$G17)</f>
        <v>27003.428692619476</v>
      </c>
      <c r="AB44" s="267">
        <f>AB22/(1+'Обобщенный расчет'!$G17)</f>
        <v>24926.241870110283</v>
      </c>
      <c r="AC44" s="267">
        <f>AC22/(1+'Обобщенный расчет'!$G17)</f>
        <v>23887.648458855689</v>
      </c>
      <c r="AD44" s="268">
        <f t="shared" si="114"/>
        <v>320925.36407766992</v>
      </c>
      <c r="AE44" s="268">
        <f t="shared" si="115"/>
        <v>26743.780339805828</v>
      </c>
      <c r="AF44" s="267">
        <f>AF22/(1+'Обобщенный расчет'!$G17)</f>
        <v>24926.241870110283</v>
      </c>
      <c r="AG44" s="267">
        <f>AG22/(1+'Обобщенный расчет'!$G17)</f>
        <v>33234.989160147052</v>
      </c>
      <c r="AH44" s="267">
        <f>AH22/(1+'Обобщенный расчет'!$G17)</f>
        <v>28042.022103874067</v>
      </c>
      <c r="AI44" s="267">
        <f>AI22/(1+'Обобщенный расчет'!$G17)</f>
        <v>30119.20892638326</v>
      </c>
      <c r="AJ44" s="267">
        <f>AJ22/(1+'Обобщенный расчет'!$G17)</f>
        <v>23887.648458855689</v>
      </c>
      <c r="AK44" s="267">
        <f>AK22/(1+'Обобщенный расчет'!$G17)</f>
        <v>24926.241870110283</v>
      </c>
      <c r="AL44" s="267">
        <f>AL22/(1+'Обобщенный расчет'!$G17)</f>
        <v>28042.022103874067</v>
      </c>
      <c r="AM44" s="267">
        <f>AM22/(1+'Обобщенный расчет'!$G17)</f>
        <v>28042.022103874067</v>
      </c>
      <c r="AN44" s="267">
        <f>AN22/(1+'Обобщенный расчет'!$G17)</f>
        <v>23887.648458855689</v>
      </c>
      <c r="AO44" s="267">
        <f>AO22/(1+'Обобщенный расчет'!$G17)</f>
        <v>27003.428692619476</v>
      </c>
      <c r="AP44" s="267">
        <f>AP22/(1+'Обобщенный расчет'!$G17)</f>
        <v>24926.241870110283</v>
      </c>
      <c r="AQ44" s="267">
        <f>AQ22/(1+'Обобщенный расчет'!$G17)</f>
        <v>23887.648458855689</v>
      </c>
      <c r="AR44" s="268">
        <f t="shared" si="116"/>
        <v>320925.36407766992</v>
      </c>
      <c r="AS44" s="268">
        <f t="shared" si="117"/>
        <v>26743.780339805828</v>
      </c>
      <c r="AT44" s="268">
        <f t="shared" si="118"/>
        <v>962776.09223300975</v>
      </c>
      <c r="AU44" s="50"/>
    </row>
    <row r="45" spans="1:47" s="51" customFormat="1" ht="11.25">
      <c r="A45" s="273" t="s">
        <v>175</v>
      </c>
      <c r="B45" s="37" t="s">
        <v>105</v>
      </c>
      <c r="C45" s="37"/>
      <c r="D45" s="49">
        <f>SUM(D37:D44)</f>
        <v>699199.05379905959</v>
      </c>
      <c r="E45" s="49">
        <f t="shared" ref="E45:O45" si="119">SUM(E37:E44)</f>
        <v>932265.40506541287</v>
      </c>
      <c r="F45" s="49">
        <f t="shared" si="119"/>
        <v>786598.93552394188</v>
      </c>
      <c r="G45" s="49">
        <f t="shared" si="119"/>
        <v>844865.52334053034</v>
      </c>
      <c r="H45" s="49">
        <f t="shared" si="119"/>
        <v>670065.75989076553</v>
      </c>
      <c r="I45" s="49">
        <f t="shared" si="119"/>
        <v>699199.05379905959</v>
      </c>
      <c r="J45" s="49">
        <f t="shared" si="119"/>
        <v>786598.93552394188</v>
      </c>
      <c r="K45" s="49">
        <f t="shared" si="119"/>
        <v>786598.93552394188</v>
      </c>
      <c r="L45" s="49">
        <f t="shared" si="119"/>
        <v>670065.75989076553</v>
      </c>
      <c r="M45" s="49">
        <f t="shared" si="119"/>
        <v>757465.64161564794</v>
      </c>
      <c r="N45" s="49">
        <f t="shared" si="119"/>
        <v>699199.05379905959</v>
      </c>
      <c r="O45" s="49">
        <f t="shared" si="119"/>
        <v>670065.75989076553</v>
      </c>
      <c r="P45" s="79">
        <f t="shared" ref="P45" si="120">SUM(D45:O45)</f>
        <v>9002187.817662891</v>
      </c>
      <c r="Q45" s="79">
        <f t="shared" ref="Q45" si="121">P45/12</f>
        <v>750182.31813857425</v>
      </c>
      <c r="R45" s="49">
        <f>SUM(R37:R44)</f>
        <v>699199.05379905959</v>
      </c>
      <c r="S45" s="49">
        <f t="shared" ref="S45" si="122">SUM(S37:S44)</f>
        <v>932265.40506541287</v>
      </c>
      <c r="T45" s="49">
        <f t="shared" ref="T45" si="123">SUM(T37:T44)</f>
        <v>786598.93552394188</v>
      </c>
      <c r="U45" s="49">
        <f t="shared" ref="U45" si="124">SUM(U37:U44)</f>
        <v>844865.52334053034</v>
      </c>
      <c r="V45" s="49">
        <f t="shared" ref="V45" si="125">SUM(V37:V44)</f>
        <v>670065.75989076553</v>
      </c>
      <c r="W45" s="49">
        <f t="shared" ref="W45" si="126">SUM(W37:W44)</f>
        <v>699199.05379905959</v>
      </c>
      <c r="X45" s="49">
        <f t="shared" ref="X45" si="127">SUM(X37:X44)</f>
        <v>786598.93552394188</v>
      </c>
      <c r="Y45" s="49">
        <f t="shared" ref="Y45" si="128">SUM(Y37:Y44)</f>
        <v>786598.93552394188</v>
      </c>
      <c r="Z45" s="49">
        <f t="shared" ref="Z45" si="129">SUM(Z37:Z44)</f>
        <v>670065.75989076553</v>
      </c>
      <c r="AA45" s="49">
        <f t="shared" ref="AA45" si="130">SUM(AA37:AA44)</f>
        <v>757465.64161564794</v>
      </c>
      <c r="AB45" s="49">
        <f t="shared" ref="AB45" si="131">SUM(AB37:AB44)</f>
        <v>699199.05379905959</v>
      </c>
      <c r="AC45" s="49">
        <f t="shared" ref="AC45" si="132">SUM(AC37:AC44)</f>
        <v>670065.75989076553</v>
      </c>
      <c r="AD45" s="79">
        <f t="shared" si="114"/>
        <v>9002187.817662891</v>
      </c>
      <c r="AE45" s="79">
        <f t="shared" si="115"/>
        <v>750182.31813857425</v>
      </c>
      <c r="AF45" s="49">
        <f>SUM(AF37:AF44)</f>
        <v>699199.05379905959</v>
      </c>
      <c r="AG45" s="49">
        <f t="shared" ref="AG45" si="133">SUM(AG37:AG44)</f>
        <v>932265.40506541287</v>
      </c>
      <c r="AH45" s="49">
        <f t="shared" ref="AH45" si="134">SUM(AH37:AH44)</f>
        <v>786598.93552394188</v>
      </c>
      <c r="AI45" s="49">
        <f t="shared" ref="AI45" si="135">SUM(AI37:AI44)</f>
        <v>844865.52334053034</v>
      </c>
      <c r="AJ45" s="49">
        <f t="shared" ref="AJ45" si="136">SUM(AJ37:AJ44)</f>
        <v>670065.75989076553</v>
      </c>
      <c r="AK45" s="49">
        <f t="shared" ref="AK45" si="137">SUM(AK37:AK44)</f>
        <v>699199.05379905959</v>
      </c>
      <c r="AL45" s="49">
        <f t="shared" ref="AL45" si="138">SUM(AL37:AL44)</f>
        <v>786598.93552394188</v>
      </c>
      <c r="AM45" s="49">
        <f t="shared" ref="AM45" si="139">SUM(AM37:AM44)</f>
        <v>786598.93552394188</v>
      </c>
      <c r="AN45" s="49">
        <f t="shared" ref="AN45" si="140">SUM(AN37:AN44)</f>
        <v>670065.75989076553</v>
      </c>
      <c r="AO45" s="49">
        <f t="shared" ref="AO45" si="141">SUM(AO37:AO44)</f>
        <v>757465.64161564794</v>
      </c>
      <c r="AP45" s="49">
        <f t="shared" ref="AP45" si="142">SUM(AP37:AP44)</f>
        <v>699199.05379905959</v>
      </c>
      <c r="AQ45" s="49">
        <f t="shared" ref="AQ45" si="143">SUM(AQ37:AQ44)</f>
        <v>670065.75989076553</v>
      </c>
      <c r="AR45" s="79">
        <f t="shared" si="116"/>
        <v>9002187.817662891</v>
      </c>
      <c r="AS45" s="79">
        <f t="shared" si="117"/>
        <v>750182.31813857425</v>
      </c>
      <c r="AT45" s="79">
        <f t="shared" si="118"/>
        <v>27006563.452988673</v>
      </c>
      <c r="AU45" s="50"/>
    </row>
    <row r="46" spans="1:47" s="51" customFormat="1" ht="11.25">
      <c r="A46" s="36"/>
      <c r="B46" s="37"/>
      <c r="C46" s="37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79"/>
      <c r="Q46" s="7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79"/>
      <c r="AE46" s="7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79"/>
      <c r="AS46" s="79"/>
      <c r="AT46" s="79"/>
      <c r="AU46" s="50"/>
    </row>
    <row r="47" spans="1:47" s="51" customFormat="1" ht="11.25">
      <c r="A47" s="269" t="s">
        <v>174</v>
      </c>
      <c r="B47" s="37"/>
      <c r="C47" s="37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79"/>
      <c r="Q47" s="7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79"/>
      <c r="AE47" s="7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79"/>
      <c r="AS47" s="79"/>
      <c r="AT47" s="79"/>
      <c r="AU47" s="50"/>
    </row>
    <row r="48" spans="1:47" s="48" customFormat="1" ht="11.25">
      <c r="A48" s="32" t="str">
        <f>A26</f>
        <v>Сэндвичи</v>
      </c>
      <c r="B48" s="33" t="s">
        <v>105</v>
      </c>
      <c r="C48" s="33"/>
      <c r="D48" s="46">
        <f>D26/(1+'Обобщенный расчет'!$G22)</f>
        <v>0</v>
      </c>
      <c r="E48" s="46">
        <f>E26/(1+'Обобщенный расчет'!$G22)</f>
        <v>0</v>
      </c>
      <c r="F48" s="46">
        <f>F26/(1+'Обобщенный расчет'!$G22)</f>
        <v>0</v>
      </c>
      <c r="G48" s="46">
        <f>G26/(1+'Обобщенный расчет'!$G22)</f>
        <v>0</v>
      </c>
      <c r="H48" s="46">
        <f>H26/(1+'Обобщенный расчет'!$G22)</f>
        <v>0</v>
      </c>
      <c r="I48" s="46">
        <f>I26/(1+'Обобщенный расчет'!$G22)</f>
        <v>0</v>
      </c>
      <c r="J48" s="46">
        <f>J26/(1+'Обобщенный расчет'!$G22)</f>
        <v>0</v>
      </c>
      <c r="K48" s="46">
        <f>K26/(1+'Обобщенный расчет'!$G22)</f>
        <v>0</v>
      </c>
      <c r="L48" s="46">
        <f>L26/(1+'Обобщенный расчет'!$G22)</f>
        <v>0</v>
      </c>
      <c r="M48" s="46">
        <f>M26/(1+'Обобщенный расчет'!$G22)</f>
        <v>0</v>
      </c>
      <c r="N48" s="46">
        <f>N26/(1+'Обобщенный расчет'!$G22)</f>
        <v>0</v>
      </c>
      <c r="O48" s="46">
        <f>O26/(1+'Обобщенный расчет'!$G22)</f>
        <v>0</v>
      </c>
      <c r="P48" s="185">
        <f t="shared" si="112"/>
        <v>0</v>
      </c>
      <c r="Q48" s="185">
        <f t="shared" si="113"/>
        <v>0</v>
      </c>
      <c r="R48" s="46">
        <f>R26/(1+'Обобщенный расчет'!$G22)</f>
        <v>0</v>
      </c>
      <c r="S48" s="46">
        <f>S26/(1+'Обобщенный расчет'!$G22)</f>
        <v>0</v>
      </c>
      <c r="T48" s="46">
        <f>T26/(1+'Обобщенный расчет'!$G22)</f>
        <v>0</v>
      </c>
      <c r="U48" s="46">
        <f>U26/(1+'Обобщенный расчет'!$G22)</f>
        <v>0</v>
      </c>
      <c r="V48" s="46">
        <f>V26/(1+'Обобщенный расчет'!$G22)</f>
        <v>0</v>
      </c>
      <c r="W48" s="46">
        <f>W26/(1+'Обобщенный расчет'!$G22)</f>
        <v>0</v>
      </c>
      <c r="X48" s="46">
        <f>X26/(1+'Обобщенный расчет'!$G22)</f>
        <v>0</v>
      </c>
      <c r="Y48" s="46">
        <f>Y26/(1+'Обобщенный расчет'!$G22)</f>
        <v>0</v>
      </c>
      <c r="Z48" s="46">
        <f>Z26/(1+'Обобщенный расчет'!$G22)</f>
        <v>0</v>
      </c>
      <c r="AA48" s="46">
        <f>AA26/(1+'Обобщенный расчет'!$G22)</f>
        <v>0</v>
      </c>
      <c r="AB48" s="46">
        <f>AB26/(1+'Обобщенный расчет'!$G22)</f>
        <v>0</v>
      </c>
      <c r="AC48" s="46">
        <f>AC26/(1+'Обобщенный расчет'!$G22)</f>
        <v>0</v>
      </c>
      <c r="AD48" s="185">
        <f t="shared" ref="AD48:AD51" si="144">SUM(R48:AC48)</f>
        <v>0</v>
      </c>
      <c r="AE48" s="185">
        <f t="shared" ref="AE48:AE53" si="145">AD48/12</f>
        <v>0</v>
      </c>
      <c r="AF48" s="46">
        <f>AF26/(1+'Обобщенный расчет'!$G22)</f>
        <v>0</v>
      </c>
      <c r="AG48" s="46">
        <f>AG26/(1+'Обобщенный расчет'!$G22)</f>
        <v>0</v>
      </c>
      <c r="AH48" s="46">
        <f>AH26/(1+'Обобщенный расчет'!$G22)</f>
        <v>0</v>
      </c>
      <c r="AI48" s="46">
        <f>AI26/(1+'Обобщенный расчет'!$G22)</f>
        <v>0</v>
      </c>
      <c r="AJ48" s="46">
        <f>AJ26/(1+'Обобщенный расчет'!$G22)</f>
        <v>0</v>
      </c>
      <c r="AK48" s="46">
        <f>AK26/(1+'Обобщенный расчет'!$G22)</f>
        <v>0</v>
      </c>
      <c r="AL48" s="46">
        <f>AL26/(1+'Обобщенный расчет'!$G22)</f>
        <v>0</v>
      </c>
      <c r="AM48" s="46">
        <f>AM26/(1+'Обобщенный расчет'!$G22)</f>
        <v>0</v>
      </c>
      <c r="AN48" s="46">
        <f>AN26/(1+'Обобщенный расчет'!$G22)</f>
        <v>0</v>
      </c>
      <c r="AO48" s="46">
        <f>AO26/(1+'Обобщенный расчет'!$G22)</f>
        <v>0</v>
      </c>
      <c r="AP48" s="46">
        <f>AP26/(1+'Обобщенный расчет'!$G22)</f>
        <v>0</v>
      </c>
      <c r="AQ48" s="46">
        <f>AQ26/(1+'Обобщенный расчет'!$G22)</f>
        <v>0</v>
      </c>
      <c r="AR48" s="185">
        <f t="shared" ref="AR48:AR51" si="146">SUM(AF48:AQ48)</f>
        <v>0</v>
      </c>
      <c r="AS48" s="185">
        <f t="shared" ref="AS48:AS53" si="147">AR48/12</f>
        <v>0</v>
      </c>
      <c r="AT48" s="185">
        <f t="shared" si="118"/>
        <v>0</v>
      </c>
      <c r="AU48" s="47"/>
    </row>
    <row r="49" spans="1:47" s="51" customFormat="1" ht="11.25">
      <c r="A49" s="36" t="str">
        <f>A27</f>
        <v>Напитки</v>
      </c>
      <c r="B49" s="37" t="s">
        <v>105</v>
      </c>
      <c r="C49" s="37"/>
      <c r="D49" s="49">
        <f>D27/(1+'Обобщенный расчет'!$G23)</f>
        <v>0</v>
      </c>
      <c r="E49" s="49">
        <f>E27/(1+'Обобщенный расчет'!$G23)</f>
        <v>0</v>
      </c>
      <c r="F49" s="49">
        <f>F27/(1+'Обобщенный расчет'!$G23)</f>
        <v>0</v>
      </c>
      <c r="G49" s="49">
        <f>G27/(1+'Обобщенный расчет'!$G23)</f>
        <v>0</v>
      </c>
      <c r="H49" s="49">
        <f>H27/(1+'Обобщенный расчет'!$G23)</f>
        <v>0</v>
      </c>
      <c r="I49" s="49">
        <f>I27/(1+'Обобщенный расчет'!$G23)</f>
        <v>0</v>
      </c>
      <c r="J49" s="49">
        <f>J27/(1+'Обобщенный расчет'!$G23)</f>
        <v>0</v>
      </c>
      <c r="K49" s="49">
        <f>K27/(1+'Обобщенный расчет'!$G23)</f>
        <v>0</v>
      </c>
      <c r="L49" s="49">
        <f>L27/(1+'Обобщенный расчет'!$G23)</f>
        <v>0</v>
      </c>
      <c r="M49" s="49">
        <f>M27/(1+'Обобщенный расчет'!$G23)</f>
        <v>0</v>
      </c>
      <c r="N49" s="49">
        <f>N27/(1+'Обобщенный расчет'!$G23)</f>
        <v>0</v>
      </c>
      <c r="O49" s="49">
        <f>O27/(1+'Обобщенный расчет'!$G23)</f>
        <v>0</v>
      </c>
      <c r="P49" s="79">
        <f t="shared" si="112"/>
        <v>0</v>
      </c>
      <c r="Q49" s="79">
        <f t="shared" si="113"/>
        <v>0</v>
      </c>
      <c r="R49" s="49">
        <f>R27/(1+'Обобщенный расчет'!$G23)</f>
        <v>0</v>
      </c>
      <c r="S49" s="49">
        <f>S27/(1+'Обобщенный расчет'!$G23)</f>
        <v>0</v>
      </c>
      <c r="T49" s="49">
        <f>T27/(1+'Обобщенный расчет'!$G23)</f>
        <v>0</v>
      </c>
      <c r="U49" s="49">
        <f>U27/(1+'Обобщенный расчет'!$G23)</f>
        <v>0</v>
      </c>
      <c r="V49" s="49">
        <f>V27/(1+'Обобщенный расчет'!$G23)</f>
        <v>0</v>
      </c>
      <c r="W49" s="49">
        <f>W27/(1+'Обобщенный расчет'!$G23)</f>
        <v>0</v>
      </c>
      <c r="X49" s="49">
        <f>X27/(1+'Обобщенный расчет'!$G23)</f>
        <v>0</v>
      </c>
      <c r="Y49" s="49">
        <f>Y27/(1+'Обобщенный расчет'!$G23)</f>
        <v>0</v>
      </c>
      <c r="Z49" s="49">
        <f>Z27/(1+'Обобщенный расчет'!$G23)</f>
        <v>0</v>
      </c>
      <c r="AA49" s="49">
        <f>AA27/(1+'Обобщенный расчет'!$G23)</f>
        <v>0</v>
      </c>
      <c r="AB49" s="49">
        <f>AB27/(1+'Обобщенный расчет'!$G23)</f>
        <v>0</v>
      </c>
      <c r="AC49" s="49">
        <f>AC27/(1+'Обобщенный расчет'!$G23)</f>
        <v>0</v>
      </c>
      <c r="AD49" s="79">
        <f t="shared" si="144"/>
        <v>0</v>
      </c>
      <c r="AE49" s="79">
        <f t="shared" si="145"/>
        <v>0</v>
      </c>
      <c r="AF49" s="49">
        <f>AF27/(1+'Обобщенный расчет'!$G23)</f>
        <v>0</v>
      </c>
      <c r="AG49" s="49">
        <f>AG27/(1+'Обобщенный расчет'!$G23)</f>
        <v>0</v>
      </c>
      <c r="AH49" s="49">
        <f>AH27/(1+'Обобщенный расчет'!$G23)</f>
        <v>0</v>
      </c>
      <c r="AI49" s="49">
        <f>AI27/(1+'Обобщенный расчет'!$G23)</f>
        <v>0</v>
      </c>
      <c r="AJ49" s="49">
        <f>AJ27/(1+'Обобщенный расчет'!$G23)</f>
        <v>0</v>
      </c>
      <c r="AK49" s="49">
        <f>AK27/(1+'Обобщенный расчет'!$G23)</f>
        <v>0</v>
      </c>
      <c r="AL49" s="49">
        <f>AL27/(1+'Обобщенный расчет'!$G23)</f>
        <v>0</v>
      </c>
      <c r="AM49" s="49">
        <f>AM27/(1+'Обобщенный расчет'!$G23)</f>
        <v>0</v>
      </c>
      <c r="AN49" s="49">
        <f>AN27/(1+'Обобщенный расчет'!$G23)</f>
        <v>0</v>
      </c>
      <c r="AO49" s="49">
        <f>AO27/(1+'Обобщенный расчет'!$G23)</f>
        <v>0</v>
      </c>
      <c r="AP49" s="49">
        <f>AP27/(1+'Обобщенный расчет'!$G23)</f>
        <v>0</v>
      </c>
      <c r="AQ49" s="49">
        <f>AQ27/(1+'Обобщенный расчет'!$G23)</f>
        <v>0</v>
      </c>
      <c r="AR49" s="79">
        <f t="shared" si="146"/>
        <v>0</v>
      </c>
      <c r="AS49" s="79">
        <f t="shared" si="147"/>
        <v>0</v>
      </c>
      <c r="AT49" s="79">
        <f t="shared" si="118"/>
        <v>0</v>
      </c>
      <c r="AU49" s="50"/>
    </row>
    <row r="50" spans="1:47" s="48" customFormat="1" ht="11.25">
      <c r="A50" s="32" t="str">
        <f>A28</f>
        <v>Гарниры/Фри</v>
      </c>
      <c r="B50" s="33" t="s">
        <v>105</v>
      </c>
      <c r="C50" s="33"/>
      <c r="D50" s="46">
        <f>D28/(1+'Обобщенный расчет'!$G24)</f>
        <v>0</v>
      </c>
      <c r="E50" s="46">
        <f>E28/(1+'Обобщенный расчет'!$G24)</f>
        <v>0</v>
      </c>
      <c r="F50" s="46">
        <f>F28/(1+'Обобщенный расчет'!$G24)</f>
        <v>0</v>
      </c>
      <c r="G50" s="46">
        <f>G28/(1+'Обобщенный расчет'!$G24)</f>
        <v>0</v>
      </c>
      <c r="H50" s="46">
        <f>H28/(1+'Обобщенный расчет'!$G24)</f>
        <v>0</v>
      </c>
      <c r="I50" s="46">
        <f>I28/(1+'Обобщенный расчет'!$G24)</f>
        <v>0</v>
      </c>
      <c r="J50" s="46">
        <f>J28/(1+'Обобщенный расчет'!$G24)</f>
        <v>0</v>
      </c>
      <c r="K50" s="46">
        <f>K28/(1+'Обобщенный расчет'!$G24)</f>
        <v>0</v>
      </c>
      <c r="L50" s="46">
        <f>L28/(1+'Обобщенный расчет'!$G24)</f>
        <v>0</v>
      </c>
      <c r="M50" s="46">
        <f>M28/(1+'Обобщенный расчет'!$G24)</f>
        <v>0</v>
      </c>
      <c r="N50" s="46">
        <f>N28/(1+'Обобщенный расчет'!$G24)</f>
        <v>0</v>
      </c>
      <c r="O50" s="46">
        <f>O28/(1+'Обобщенный расчет'!$G24)</f>
        <v>0</v>
      </c>
      <c r="P50" s="185">
        <f t="shared" si="112"/>
        <v>0</v>
      </c>
      <c r="Q50" s="185">
        <f t="shared" si="113"/>
        <v>0</v>
      </c>
      <c r="R50" s="46">
        <f>R28/(1+'Обобщенный расчет'!$G24)</f>
        <v>0</v>
      </c>
      <c r="S50" s="46">
        <f>S28/(1+'Обобщенный расчет'!$G24)</f>
        <v>0</v>
      </c>
      <c r="T50" s="46">
        <f>T28/(1+'Обобщенный расчет'!$G24)</f>
        <v>0</v>
      </c>
      <c r="U50" s="46">
        <f>U28/(1+'Обобщенный расчет'!$G24)</f>
        <v>0</v>
      </c>
      <c r="V50" s="46">
        <f>V28/(1+'Обобщенный расчет'!$G24)</f>
        <v>0</v>
      </c>
      <c r="W50" s="46">
        <f>W28/(1+'Обобщенный расчет'!$G24)</f>
        <v>0</v>
      </c>
      <c r="X50" s="46">
        <f>X28/(1+'Обобщенный расчет'!$G24)</f>
        <v>0</v>
      </c>
      <c r="Y50" s="46">
        <f>Y28/(1+'Обобщенный расчет'!$G24)</f>
        <v>0</v>
      </c>
      <c r="Z50" s="46">
        <f>Z28/(1+'Обобщенный расчет'!$G24)</f>
        <v>0</v>
      </c>
      <c r="AA50" s="46">
        <f>AA28/(1+'Обобщенный расчет'!$G24)</f>
        <v>0</v>
      </c>
      <c r="AB50" s="46">
        <f>AB28/(1+'Обобщенный расчет'!$G24)</f>
        <v>0</v>
      </c>
      <c r="AC50" s="46">
        <f>AC28/(1+'Обобщенный расчет'!$G24)</f>
        <v>0</v>
      </c>
      <c r="AD50" s="185">
        <f t="shared" si="144"/>
        <v>0</v>
      </c>
      <c r="AE50" s="185">
        <f t="shared" si="145"/>
        <v>0</v>
      </c>
      <c r="AF50" s="46">
        <f>AF28/(1+'Обобщенный расчет'!$G24)</f>
        <v>0</v>
      </c>
      <c r="AG50" s="46">
        <f>AG28/(1+'Обобщенный расчет'!$G24)</f>
        <v>0</v>
      </c>
      <c r="AH50" s="46">
        <f>AH28/(1+'Обобщенный расчет'!$G24)</f>
        <v>0</v>
      </c>
      <c r="AI50" s="46">
        <f>AI28/(1+'Обобщенный расчет'!$G24)</f>
        <v>0</v>
      </c>
      <c r="AJ50" s="46">
        <f>AJ28/(1+'Обобщенный расчет'!$G24)</f>
        <v>0</v>
      </c>
      <c r="AK50" s="46">
        <f>AK28/(1+'Обобщенный расчет'!$G24)</f>
        <v>0</v>
      </c>
      <c r="AL50" s="46">
        <f>AL28/(1+'Обобщенный расчет'!$G24)</f>
        <v>0</v>
      </c>
      <c r="AM50" s="46">
        <f>AM28/(1+'Обобщенный расчет'!$G24)</f>
        <v>0</v>
      </c>
      <c r="AN50" s="46">
        <f>AN28/(1+'Обобщенный расчет'!$G24)</f>
        <v>0</v>
      </c>
      <c r="AO50" s="46">
        <f>AO28/(1+'Обобщенный расчет'!$G24)</f>
        <v>0</v>
      </c>
      <c r="AP50" s="46">
        <f>AP28/(1+'Обобщенный расчет'!$G24)</f>
        <v>0</v>
      </c>
      <c r="AQ50" s="46">
        <f>AQ28/(1+'Обобщенный расчет'!$G24)</f>
        <v>0</v>
      </c>
      <c r="AR50" s="185">
        <f t="shared" si="146"/>
        <v>0</v>
      </c>
      <c r="AS50" s="185">
        <f t="shared" si="147"/>
        <v>0</v>
      </c>
      <c r="AT50" s="185">
        <f t="shared" si="118"/>
        <v>0</v>
      </c>
      <c r="AU50" s="47"/>
    </row>
    <row r="51" spans="1:47" s="51" customFormat="1" ht="11.25">
      <c r="A51" s="36" t="str">
        <f>A29</f>
        <v>Паста</v>
      </c>
      <c r="B51" s="37" t="s">
        <v>105</v>
      </c>
      <c r="C51" s="37"/>
      <c r="D51" s="49">
        <f>D29/(1+'Обобщенный расчет'!$G25)</f>
        <v>0</v>
      </c>
      <c r="E51" s="49">
        <f>E29/(1+'Обобщенный расчет'!$G25)</f>
        <v>0</v>
      </c>
      <c r="F51" s="49">
        <f>F29/(1+'Обобщенный расчет'!$G25)</f>
        <v>0</v>
      </c>
      <c r="G51" s="49">
        <f>G29/(1+'Обобщенный расчет'!$G25)</f>
        <v>0</v>
      </c>
      <c r="H51" s="49">
        <f>H29/(1+'Обобщенный расчет'!$G25)</f>
        <v>0</v>
      </c>
      <c r="I51" s="49">
        <f>I29/(1+'Обобщенный расчет'!$G25)</f>
        <v>0</v>
      </c>
      <c r="J51" s="49">
        <f>J29/(1+'Обобщенный расчет'!$G25)</f>
        <v>0</v>
      </c>
      <c r="K51" s="49">
        <f>K29/(1+'Обобщенный расчет'!$G25)</f>
        <v>0</v>
      </c>
      <c r="L51" s="49">
        <f>L29/(1+'Обобщенный расчет'!$G25)</f>
        <v>0</v>
      </c>
      <c r="M51" s="49">
        <f>M29/(1+'Обобщенный расчет'!$G25)</f>
        <v>0</v>
      </c>
      <c r="N51" s="49">
        <f>N29/(1+'Обобщенный расчет'!$G25)</f>
        <v>0</v>
      </c>
      <c r="O51" s="49">
        <f>O29/(1+'Обобщенный расчет'!$G25)</f>
        <v>0</v>
      </c>
      <c r="P51" s="79">
        <f t="shared" si="112"/>
        <v>0</v>
      </c>
      <c r="Q51" s="79">
        <f t="shared" si="113"/>
        <v>0</v>
      </c>
      <c r="R51" s="49">
        <f>R29/(1+'Обобщенный расчет'!$G25)</f>
        <v>0</v>
      </c>
      <c r="S51" s="49">
        <f>S29/(1+'Обобщенный расчет'!$G25)</f>
        <v>0</v>
      </c>
      <c r="T51" s="49">
        <f>T29/(1+'Обобщенный расчет'!$G25)</f>
        <v>0</v>
      </c>
      <c r="U51" s="49">
        <f>U29/(1+'Обобщенный расчет'!$G25)</f>
        <v>0</v>
      </c>
      <c r="V51" s="49">
        <f>V29/(1+'Обобщенный расчет'!$G25)</f>
        <v>0</v>
      </c>
      <c r="W51" s="49">
        <f>W29/(1+'Обобщенный расчет'!$G25)</f>
        <v>0</v>
      </c>
      <c r="X51" s="49">
        <f>X29/(1+'Обобщенный расчет'!$G25)</f>
        <v>0</v>
      </c>
      <c r="Y51" s="49">
        <f>Y29/(1+'Обобщенный расчет'!$G25)</f>
        <v>0</v>
      </c>
      <c r="Z51" s="49">
        <f>Z29/(1+'Обобщенный расчет'!$G25)</f>
        <v>0</v>
      </c>
      <c r="AA51" s="49">
        <f>AA29/(1+'Обобщенный расчет'!$G25)</f>
        <v>0</v>
      </c>
      <c r="AB51" s="49">
        <f>AB29/(1+'Обобщенный расчет'!$G25)</f>
        <v>0</v>
      </c>
      <c r="AC51" s="49">
        <f>AC29/(1+'Обобщенный расчет'!$G25)</f>
        <v>0</v>
      </c>
      <c r="AD51" s="79">
        <f t="shared" si="144"/>
        <v>0</v>
      </c>
      <c r="AE51" s="79">
        <f t="shared" si="145"/>
        <v>0</v>
      </c>
      <c r="AF51" s="49">
        <f>AF29/(1+'Обобщенный расчет'!$G25)</f>
        <v>0</v>
      </c>
      <c r="AG51" s="49">
        <f>AG29/(1+'Обобщенный расчет'!$G25)</f>
        <v>0</v>
      </c>
      <c r="AH51" s="49">
        <f>AH29/(1+'Обобщенный расчет'!$G25)</f>
        <v>0</v>
      </c>
      <c r="AI51" s="49">
        <f>AI29/(1+'Обобщенный расчет'!$G25)</f>
        <v>0</v>
      </c>
      <c r="AJ51" s="49">
        <f>AJ29/(1+'Обобщенный расчет'!$G25)</f>
        <v>0</v>
      </c>
      <c r="AK51" s="49">
        <f>AK29/(1+'Обобщенный расчет'!$G25)</f>
        <v>0</v>
      </c>
      <c r="AL51" s="49">
        <f>AL29/(1+'Обобщенный расчет'!$G25)</f>
        <v>0</v>
      </c>
      <c r="AM51" s="49">
        <f>AM29/(1+'Обобщенный расчет'!$G25)</f>
        <v>0</v>
      </c>
      <c r="AN51" s="49">
        <f>AN29/(1+'Обобщенный расчет'!$G25)</f>
        <v>0</v>
      </c>
      <c r="AO51" s="49">
        <f>AO29/(1+'Обобщенный расчет'!$G25)</f>
        <v>0</v>
      </c>
      <c r="AP51" s="49">
        <f>AP29/(1+'Обобщенный расчет'!$G25)</f>
        <v>0</v>
      </c>
      <c r="AQ51" s="49">
        <f>AQ29/(1+'Обобщенный расчет'!$G25)</f>
        <v>0</v>
      </c>
      <c r="AR51" s="79">
        <f t="shared" si="146"/>
        <v>0</v>
      </c>
      <c r="AS51" s="79">
        <f t="shared" si="147"/>
        <v>0</v>
      </c>
      <c r="AT51" s="79">
        <f t="shared" si="118"/>
        <v>0</v>
      </c>
      <c r="AU51" s="50"/>
    </row>
    <row r="52" spans="1:47" s="48" customFormat="1" ht="11.25">
      <c r="A52" s="279" t="str">
        <f>A30</f>
        <v>Пицца</v>
      </c>
      <c r="B52" s="280" t="s">
        <v>105</v>
      </c>
      <c r="C52" s="280"/>
      <c r="D52" s="281">
        <f>D30/(1+'Обобщенный расчет'!$G26)</f>
        <v>0</v>
      </c>
      <c r="E52" s="281">
        <f>E30/(1+'Обобщенный расчет'!$G26)</f>
        <v>0</v>
      </c>
      <c r="F52" s="281">
        <f>F30/(1+'Обобщенный расчет'!$G26)</f>
        <v>0</v>
      </c>
      <c r="G52" s="281">
        <f>G30/(1+'Обобщенный расчет'!$G26)</f>
        <v>0</v>
      </c>
      <c r="H52" s="281">
        <f>H30/(1+'Обобщенный расчет'!$G26)</f>
        <v>0</v>
      </c>
      <c r="I52" s="281">
        <f>I30/(1+'Обобщенный расчет'!$G26)</f>
        <v>0</v>
      </c>
      <c r="J52" s="281">
        <f>J30/(1+'Обобщенный расчет'!$G26)</f>
        <v>0</v>
      </c>
      <c r="K52" s="281">
        <f>K30/(1+'Обобщенный расчет'!$G26)</f>
        <v>0</v>
      </c>
      <c r="L52" s="281">
        <f>L30/(1+'Обобщенный расчет'!$G26)</f>
        <v>0</v>
      </c>
      <c r="M52" s="281">
        <f>M30/(1+'Обобщенный расчет'!$G26)</f>
        <v>0</v>
      </c>
      <c r="N52" s="281">
        <f>N30/(1+'Обобщенный расчет'!$G26)</f>
        <v>0</v>
      </c>
      <c r="O52" s="281">
        <f>O30/(1+'Обобщенный расчет'!$G26)</f>
        <v>0</v>
      </c>
      <c r="P52" s="282">
        <f t="shared" ref="P52" si="148">SUM(D52:O52)</f>
        <v>0</v>
      </c>
      <c r="Q52" s="282">
        <f t="shared" ref="Q52:Q53" si="149">P52/12</f>
        <v>0</v>
      </c>
      <c r="R52" s="281">
        <f>R30/(1+'Обобщенный расчет'!$G26)</f>
        <v>0</v>
      </c>
      <c r="S52" s="281">
        <f>S30/(1+'Обобщенный расчет'!$G26)</f>
        <v>0</v>
      </c>
      <c r="T52" s="281">
        <f>T30/(1+'Обобщенный расчет'!$G26)</f>
        <v>0</v>
      </c>
      <c r="U52" s="281">
        <f>U30/(1+'Обобщенный расчет'!$G26)</f>
        <v>0</v>
      </c>
      <c r="V52" s="281">
        <f>V30/(1+'Обобщенный расчет'!$G26)</f>
        <v>0</v>
      </c>
      <c r="W52" s="281">
        <f>W30/(1+'Обобщенный расчет'!$G26)</f>
        <v>0</v>
      </c>
      <c r="X52" s="281">
        <f>X30/(1+'Обобщенный расчет'!$G26)</f>
        <v>0</v>
      </c>
      <c r="Y52" s="281">
        <f>Y30/(1+'Обобщенный расчет'!$G26)</f>
        <v>0</v>
      </c>
      <c r="Z52" s="281">
        <f>Z30/(1+'Обобщенный расчет'!$G26)</f>
        <v>0</v>
      </c>
      <c r="AA52" s="281">
        <f>AA30/(1+'Обобщенный расчет'!$G26)</f>
        <v>0</v>
      </c>
      <c r="AB52" s="281">
        <f>AB30/(1+'Обобщенный расчет'!$G26)</f>
        <v>0</v>
      </c>
      <c r="AC52" s="281">
        <f>AC30/(1+'Обобщенный расчет'!$G26)</f>
        <v>0</v>
      </c>
      <c r="AD52" s="282">
        <f t="shared" ref="AD52" si="150">SUM(R52:AC52)</f>
        <v>0</v>
      </c>
      <c r="AE52" s="282">
        <f t="shared" si="145"/>
        <v>0</v>
      </c>
      <c r="AF52" s="281">
        <f>AF30/(1+'Обобщенный расчет'!$G26)</f>
        <v>0</v>
      </c>
      <c r="AG52" s="281">
        <f>AG30/(1+'Обобщенный расчет'!$G26)</f>
        <v>0</v>
      </c>
      <c r="AH52" s="281">
        <f>AH30/(1+'Обобщенный расчет'!$G26)</f>
        <v>0</v>
      </c>
      <c r="AI52" s="281">
        <f>AI30/(1+'Обобщенный расчет'!$G26)</f>
        <v>0</v>
      </c>
      <c r="AJ52" s="281">
        <f>AJ30/(1+'Обобщенный расчет'!$G26)</f>
        <v>0</v>
      </c>
      <c r="AK52" s="281">
        <f>AK30/(1+'Обобщенный расчет'!$G26)</f>
        <v>0</v>
      </c>
      <c r="AL52" s="281">
        <f>AL30/(1+'Обобщенный расчет'!$G26)</f>
        <v>0</v>
      </c>
      <c r="AM52" s="281">
        <f>AM30/(1+'Обобщенный расчет'!$G26)</f>
        <v>0</v>
      </c>
      <c r="AN52" s="281">
        <f>AN30/(1+'Обобщенный расчет'!$G26)</f>
        <v>0</v>
      </c>
      <c r="AO52" s="281">
        <f>AO30/(1+'Обобщенный расчет'!$G26)</f>
        <v>0</v>
      </c>
      <c r="AP52" s="281">
        <f>AP30/(1+'Обобщенный расчет'!$G26)</f>
        <v>0</v>
      </c>
      <c r="AQ52" s="281">
        <f>AQ30/(1+'Обобщенный расчет'!$G26)</f>
        <v>0</v>
      </c>
      <c r="AR52" s="282">
        <f t="shared" ref="AR52" si="151">SUM(AF52:AQ52)</f>
        <v>0</v>
      </c>
      <c r="AS52" s="282">
        <f t="shared" si="147"/>
        <v>0</v>
      </c>
      <c r="AT52" s="282">
        <f t="shared" ref="AT52" si="152">P52+AD52+AR52</f>
        <v>0</v>
      </c>
      <c r="AU52" s="47"/>
    </row>
    <row r="53" spans="1:47" s="99" customFormat="1" ht="11.25">
      <c r="A53" s="278" t="s">
        <v>177</v>
      </c>
      <c r="B53" s="37" t="s">
        <v>105</v>
      </c>
      <c r="C53" s="37"/>
      <c r="D53" s="212">
        <f>SUM(D48:D52)</f>
        <v>0</v>
      </c>
      <c r="E53" s="212">
        <f t="shared" ref="E53:O53" si="153">SUM(E48:E52)</f>
        <v>0</v>
      </c>
      <c r="F53" s="212">
        <f t="shared" si="153"/>
        <v>0</v>
      </c>
      <c r="G53" s="212">
        <f t="shared" si="153"/>
        <v>0</v>
      </c>
      <c r="H53" s="212">
        <f t="shared" si="153"/>
        <v>0</v>
      </c>
      <c r="I53" s="212">
        <f t="shared" si="153"/>
        <v>0</v>
      </c>
      <c r="J53" s="212">
        <f t="shared" si="153"/>
        <v>0</v>
      </c>
      <c r="K53" s="212">
        <f t="shared" si="153"/>
        <v>0</v>
      </c>
      <c r="L53" s="212">
        <f t="shared" si="153"/>
        <v>0</v>
      </c>
      <c r="M53" s="212">
        <f t="shared" si="153"/>
        <v>0</v>
      </c>
      <c r="N53" s="212">
        <f t="shared" si="153"/>
        <v>0</v>
      </c>
      <c r="O53" s="212">
        <f t="shared" si="153"/>
        <v>0</v>
      </c>
      <c r="P53" s="263">
        <f t="shared" ref="P53" si="154">SUM(D53:O53)</f>
        <v>0</v>
      </c>
      <c r="Q53" s="263">
        <f t="shared" si="149"/>
        <v>0</v>
      </c>
      <c r="R53" s="212">
        <f>SUM(R48:R52)</f>
        <v>0</v>
      </c>
      <c r="S53" s="212">
        <f t="shared" ref="S53" si="155">SUM(S48:S52)</f>
        <v>0</v>
      </c>
      <c r="T53" s="212">
        <f t="shared" ref="T53" si="156">SUM(T48:T52)</f>
        <v>0</v>
      </c>
      <c r="U53" s="212">
        <f t="shared" ref="U53" si="157">SUM(U48:U52)</f>
        <v>0</v>
      </c>
      <c r="V53" s="212">
        <f t="shared" ref="V53" si="158">SUM(V48:V52)</f>
        <v>0</v>
      </c>
      <c r="W53" s="212">
        <f t="shared" ref="W53" si="159">SUM(W48:W52)</f>
        <v>0</v>
      </c>
      <c r="X53" s="212">
        <f t="shared" ref="X53" si="160">SUM(X48:X52)</f>
        <v>0</v>
      </c>
      <c r="Y53" s="212">
        <f t="shared" ref="Y53" si="161">SUM(Y48:Y52)</f>
        <v>0</v>
      </c>
      <c r="Z53" s="212">
        <f t="shared" ref="Z53" si="162">SUM(Z48:Z52)</f>
        <v>0</v>
      </c>
      <c r="AA53" s="212">
        <f t="shared" ref="AA53" si="163">SUM(AA48:AA52)</f>
        <v>0</v>
      </c>
      <c r="AB53" s="212">
        <f t="shared" ref="AB53" si="164">SUM(AB48:AB52)</f>
        <v>0</v>
      </c>
      <c r="AC53" s="212">
        <f t="shared" ref="AC53" si="165">SUM(AC48:AC52)</f>
        <v>0</v>
      </c>
      <c r="AD53" s="263">
        <f t="shared" ref="AD53" si="166">SUM(R53:AC53)</f>
        <v>0</v>
      </c>
      <c r="AE53" s="263">
        <f t="shared" si="145"/>
        <v>0</v>
      </c>
      <c r="AF53" s="212">
        <f>SUM(AF48:AF52)</f>
        <v>0</v>
      </c>
      <c r="AG53" s="212">
        <f t="shared" ref="AG53" si="167">SUM(AG48:AG52)</f>
        <v>0</v>
      </c>
      <c r="AH53" s="212">
        <f t="shared" ref="AH53" si="168">SUM(AH48:AH52)</f>
        <v>0</v>
      </c>
      <c r="AI53" s="212">
        <f t="shared" ref="AI53" si="169">SUM(AI48:AI52)</f>
        <v>0</v>
      </c>
      <c r="AJ53" s="212">
        <f t="shared" ref="AJ53" si="170">SUM(AJ48:AJ52)</f>
        <v>0</v>
      </c>
      <c r="AK53" s="212">
        <f t="shared" ref="AK53" si="171">SUM(AK48:AK52)</f>
        <v>0</v>
      </c>
      <c r="AL53" s="212">
        <f t="shared" ref="AL53" si="172">SUM(AL48:AL52)</f>
        <v>0</v>
      </c>
      <c r="AM53" s="212">
        <f t="shared" ref="AM53" si="173">SUM(AM48:AM52)</f>
        <v>0</v>
      </c>
      <c r="AN53" s="212">
        <f t="shared" ref="AN53" si="174">SUM(AN48:AN52)</f>
        <v>0</v>
      </c>
      <c r="AO53" s="212">
        <f t="shared" ref="AO53" si="175">SUM(AO48:AO52)</f>
        <v>0</v>
      </c>
      <c r="AP53" s="212">
        <f t="shared" ref="AP53" si="176">SUM(AP48:AP52)</f>
        <v>0</v>
      </c>
      <c r="AQ53" s="212">
        <f t="shared" ref="AQ53" si="177">SUM(AQ48:AQ52)</f>
        <v>0</v>
      </c>
      <c r="AR53" s="263">
        <f t="shared" ref="AR53" si="178">SUM(AF53:AQ53)</f>
        <v>0</v>
      </c>
      <c r="AS53" s="263">
        <f t="shared" si="147"/>
        <v>0</v>
      </c>
      <c r="AT53" s="263">
        <f t="shared" si="118"/>
        <v>0</v>
      </c>
      <c r="AU53" s="277"/>
    </row>
    <row r="54" spans="1:47" s="99" customFormat="1" ht="11.25">
      <c r="A54" s="276"/>
      <c r="B54" s="96"/>
      <c r="C54" s="96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63"/>
      <c r="Q54" s="263"/>
      <c r="R54" s="212"/>
      <c r="S54" s="212"/>
      <c r="T54" s="212"/>
      <c r="U54" s="212"/>
      <c r="V54" s="212"/>
      <c r="W54" s="212"/>
      <c r="X54" s="212"/>
      <c r="Y54" s="212"/>
      <c r="Z54" s="212"/>
      <c r="AA54" s="212"/>
      <c r="AB54" s="212"/>
      <c r="AC54" s="212"/>
      <c r="AD54" s="263"/>
      <c r="AE54" s="263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63"/>
      <c r="AS54" s="263"/>
      <c r="AT54" s="263"/>
      <c r="AU54" s="277"/>
    </row>
    <row r="55" spans="1:47" s="40" customFormat="1" ht="11.25">
      <c r="A55" s="41" t="s">
        <v>176</v>
      </c>
      <c r="B55" s="42" t="s">
        <v>105</v>
      </c>
      <c r="C55" s="42"/>
      <c r="D55" s="169">
        <f>D45+D53</f>
        <v>699199.05379905959</v>
      </c>
      <c r="E55" s="169">
        <f t="shared" ref="E55:Q55" si="179">E45+E53</f>
        <v>932265.40506541287</v>
      </c>
      <c r="F55" s="169">
        <f t="shared" si="179"/>
        <v>786598.93552394188</v>
      </c>
      <c r="G55" s="169">
        <f t="shared" si="179"/>
        <v>844865.52334053034</v>
      </c>
      <c r="H55" s="169">
        <f t="shared" si="179"/>
        <v>670065.75989076553</v>
      </c>
      <c r="I55" s="169">
        <f t="shared" si="179"/>
        <v>699199.05379905959</v>
      </c>
      <c r="J55" s="169">
        <f t="shared" si="179"/>
        <v>786598.93552394188</v>
      </c>
      <c r="K55" s="169">
        <f t="shared" si="179"/>
        <v>786598.93552394188</v>
      </c>
      <c r="L55" s="169">
        <f t="shared" si="179"/>
        <v>670065.75989076553</v>
      </c>
      <c r="M55" s="169">
        <f t="shared" si="179"/>
        <v>757465.64161564794</v>
      </c>
      <c r="N55" s="169">
        <f t="shared" si="179"/>
        <v>699199.05379905959</v>
      </c>
      <c r="O55" s="169">
        <f t="shared" si="179"/>
        <v>670065.75989076553</v>
      </c>
      <c r="P55" s="169">
        <f t="shared" si="179"/>
        <v>9002187.817662891</v>
      </c>
      <c r="Q55" s="169">
        <f t="shared" si="179"/>
        <v>750182.31813857425</v>
      </c>
      <c r="R55" s="169">
        <f>R45+R53</f>
        <v>699199.05379905959</v>
      </c>
      <c r="S55" s="169">
        <f t="shared" ref="S55:AE55" si="180">S45+S53</f>
        <v>932265.40506541287</v>
      </c>
      <c r="T55" s="169">
        <f t="shared" si="180"/>
        <v>786598.93552394188</v>
      </c>
      <c r="U55" s="169">
        <f t="shared" si="180"/>
        <v>844865.52334053034</v>
      </c>
      <c r="V55" s="169">
        <f t="shared" si="180"/>
        <v>670065.75989076553</v>
      </c>
      <c r="W55" s="169">
        <f t="shared" si="180"/>
        <v>699199.05379905959</v>
      </c>
      <c r="X55" s="169">
        <f t="shared" si="180"/>
        <v>786598.93552394188</v>
      </c>
      <c r="Y55" s="169">
        <f t="shared" si="180"/>
        <v>786598.93552394188</v>
      </c>
      <c r="Z55" s="169">
        <f t="shared" si="180"/>
        <v>670065.75989076553</v>
      </c>
      <c r="AA55" s="169">
        <f t="shared" si="180"/>
        <v>757465.64161564794</v>
      </c>
      <c r="AB55" s="169">
        <f t="shared" si="180"/>
        <v>699199.05379905959</v>
      </c>
      <c r="AC55" s="169">
        <f t="shared" si="180"/>
        <v>670065.75989076553</v>
      </c>
      <c r="AD55" s="169">
        <f t="shared" si="180"/>
        <v>9002187.817662891</v>
      </c>
      <c r="AE55" s="169">
        <f t="shared" si="180"/>
        <v>750182.31813857425</v>
      </c>
      <c r="AF55" s="169">
        <f>AF45+AF53</f>
        <v>699199.05379905959</v>
      </c>
      <c r="AG55" s="169">
        <f t="shared" ref="AG55:AT55" si="181">AG45+AG53</f>
        <v>932265.40506541287</v>
      </c>
      <c r="AH55" s="169">
        <f t="shared" si="181"/>
        <v>786598.93552394188</v>
      </c>
      <c r="AI55" s="169">
        <f t="shared" si="181"/>
        <v>844865.52334053034</v>
      </c>
      <c r="AJ55" s="169">
        <f t="shared" si="181"/>
        <v>670065.75989076553</v>
      </c>
      <c r="AK55" s="169">
        <f t="shared" si="181"/>
        <v>699199.05379905959</v>
      </c>
      <c r="AL55" s="169">
        <f t="shared" si="181"/>
        <v>786598.93552394188</v>
      </c>
      <c r="AM55" s="169">
        <f t="shared" si="181"/>
        <v>786598.93552394188</v>
      </c>
      <c r="AN55" s="169">
        <f t="shared" si="181"/>
        <v>670065.75989076553</v>
      </c>
      <c r="AO55" s="169">
        <f t="shared" si="181"/>
        <v>757465.64161564794</v>
      </c>
      <c r="AP55" s="169">
        <f t="shared" si="181"/>
        <v>699199.05379905959</v>
      </c>
      <c r="AQ55" s="169">
        <f t="shared" si="181"/>
        <v>670065.75989076553</v>
      </c>
      <c r="AR55" s="169">
        <f t="shared" si="181"/>
        <v>9002187.817662891</v>
      </c>
      <c r="AS55" s="169">
        <f t="shared" si="181"/>
        <v>750182.31813857425</v>
      </c>
      <c r="AT55" s="169">
        <f t="shared" si="181"/>
        <v>27006563.452988673</v>
      </c>
      <c r="AU55" s="39"/>
    </row>
    <row r="56" spans="1:47" s="40" customFormat="1" ht="12" thickBot="1">
      <c r="A56" s="52"/>
      <c r="B56" s="37"/>
      <c r="C56" s="37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187"/>
      <c r="Q56" s="187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187"/>
      <c r="AE56" s="187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187"/>
      <c r="AS56" s="187"/>
      <c r="AT56" s="34"/>
      <c r="AU56" s="39"/>
    </row>
    <row r="57" spans="1:47" s="17" customFormat="1" ht="24" thickTop="1" thickBot="1">
      <c r="A57" s="18" t="s">
        <v>37</v>
      </c>
      <c r="B57" s="19"/>
      <c r="C57" s="19"/>
      <c r="D57" s="28" t="str">
        <f t="shared" ref="D57:O57" si="182">D$6</f>
        <v>сентябрь</v>
      </c>
      <c r="E57" s="28" t="str">
        <f t="shared" si="182"/>
        <v>октябрь</v>
      </c>
      <c r="F57" s="28" t="str">
        <f t="shared" si="182"/>
        <v>ноябрь</v>
      </c>
      <c r="G57" s="28" t="str">
        <f t="shared" si="182"/>
        <v>декабрь</v>
      </c>
      <c r="H57" s="28" t="str">
        <f t="shared" si="182"/>
        <v>январь</v>
      </c>
      <c r="I57" s="28" t="str">
        <f t="shared" si="182"/>
        <v>февраль</v>
      </c>
      <c r="J57" s="28" t="str">
        <f t="shared" si="182"/>
        <v>март</v>
      </c>
      <c r="K57" s="28" t="str">
        <f t="shared" si="182"/>
        <v>апрель</v>
      </c>
      <c r="L57" s="28" t="str">
        <f t="shared" si="182"/>
        <v>май</v>
      </c>
      <c r="M57" s="28" t="str">
        <f t="shared" si="182"/>
        <v>июнь</v>
      </c>
      <c r="N57" s="28" t="str">
        <f t="shared" si="182"/>
        <v>июль</v>
      </c>
      <c r="O57" s="28" t="str">
        <f t="shared" si="182"/>
        <v>август</v>
      </c>
      <c r="P57" s="186" t="str">
        <f>P35</f>
        <v>Итого за 1-й год</v>
      </c>
      <c r="Q57" s="186" t="str">
        <f>Q35</f>
        <v>Среднемесячно за 1-й год</v>
      </c>
      <c r="R57" s="28" t="str">
        <f t="shared" ref="R57:AC57" si="183">R$6</f>
        <v>сентябрь</v>
      </c>
      <c r="S57" s="28" t="str">
        <f t="shared" si="183"/>
        <v>октябрь</v>
      </c>
      <c r="T57" s="28" t="str">
        <f t="shared" si="183"/>
        <v>ноябрь</v>
      </c>
      <c r="U57" s="28" t="str">
        <f t="shared" si="183"/>
        <v>декабрь</v>
      </c>
      <c r="V57" s="28" t="str">
        <f t="shared" si="183"/>
        <v>январь</v>
      </c>
      <c r="W57" s="28" t="str">
        <f t="shared" si="183"/>
        <v>февраль</v>
      </c>
      <c r="X57" s="28" t="str">
        <f t="shared" si="183"/>
        <v>март</v>
      </c>
      <c r="Y57" s="28" t="str">
        <f t="shared" si="183"/>
        <v>апрель</v>
      </c>
      <c r="Z57" s="28" t="str">
        <f t="shared" si="183"/>
        <v>май</v>
      </c>
      <c r="AA57" s="28" t="str">
        <f t="shared" si="183"/>
        <v>июнь</v>
      </c>
      <c r="AB57" s="28" t="str">
        <f t="shared" si="183"/>
        <v>июль</v>
      </c>
      <c r="AC57" s="28" t="str">
        <f t="shared" si="183"/>
        <v>август</v>
      </c>
      <c r="AD57" s="186" t="str">
        <f>AD35</f>
        <v>Итого за 2-й год</v>
      </c>
      <c r="AE57" s="186" t="str">
        <f>AE35</f>
        <v>Среднемесячно за 2-й год</v>
      </c>
      <c r="AF57" s="28" t="str">
        <f t="shared" ref="AF57:AQ57" si="184">AF$6</f>
        <v>сентябрь</v>
      </c>
      <c r="AG57" s="28" t="str">
        <f t="shared" si="184"/>
        <v>октябрь</v>
      </c>
      <c r="AH57" s="28" t="str">
        <f t="shared" si="184"/>
        <v>ноябрь</v>
      </c>
      <c r="AI57" s="28" t="str">
        <f t="shared" si="184"/>
        <v>декабрь</v>
      </c>
      <c r="AJ57" s="28" t="str">
        <f t="shared" si="184"/>
        <v>январь</v>
      </c>
      <c r="AK57" s="28" t="str">
        <f t="shared" si="184"/>
        <v>февраль</v>
      </c>
      <c r="AL57" s="28" t="str">
        <f t="shared" si="184"/>
        <v>март</v>
      </c>
      <c r="AM57" s="28" t="str">
        <f t="shared" si="184"/>
        <v>апрель</v>
      </c>
      <c r="AN57" s="28" t="str">
        <f t="shared" si="184"/>
        <v>май</v>
      </c>
      <c r="AO57" s="28" t="str">
        <f t="shared" si="184"/>
        <v>июнь</v>
      </c>
      <c r="AP57" s="28" t="str">
        <f t="shared" si="184"/>
        <v>июль</v>
      </c>
      <c r="AQ57" s="28" t="str">
        <f t="shared" si="184"/>
        <v>август</v>
      </c>
      <c r="AR57" s="186" t="str">
        <f>AR35</f>
        <v>Итого за 3-й год</v>
      </c>
      <c r="AS57" s="186" t="str">
        <f>AS35</f>
        <v>Среднемесячно за 3-й год</v>
      </c>
      <c r="AT57" s="284" t="str">
        <f>AT35</f>
        <v>Итого за три года</v>
      </c>
    </row>
    <row r="58" spans="1:47" s="17" customFormat="1" ht="12" thickTop="1">
      <c r="A58" s="53"/>
      <c r="B58" s="54"/>
      <c r="C58" s="54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188"/>
      <c r="Q58" s="188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188"/>
      <c r="AE58" s="188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188"/>
      <c r="AS58" s="188"/>
      <c r="AT58" s="55"/>
    </row>
    <row r="59" spans="1:47" s="48" customFormat="1" ht="11.25">
      <c r="A59" s="32" t="str">
        <f>'Обобщенный расчет'!B31</f>
        <v>Ремонт помещения</v>
      </c>
      <c r="B59" s="33" t="s">
        <v>105</v>
      </c>
      <c r="C59" s="46">
        <f>'Обобщенный расчет'!$H$31</f>
        <v>1430000</v>
      </c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185">
        <f t="shared" ref="P59:P68" si="185">SUM(D59:O59)</f>
        <v>0</v>
      </c>
      <c r="Q59" s="185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185">
        <f t="shared" ref="AD59:AD68" si="186">SUM(R59:AC59)</f>
        <v>0</v>
      </c>
      <c r="AE59" s="185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185">
        <f t="shared" ref="AR59:AR68" si="187">SUM(AF59:AQ59)</f>
        <v>0</v>
      </c>
      <c r="AS59" s="185"/>
      <c r="AT59" s="185">
        <f t="shared" ref="AT59:AT68" si="188">P59+AD59+AR59</f>
        <v>0</v>
      </c>
      <c r="AU59" s="47"/>
    </row>
    <row r="60" spans="1:47" s="51" customFormat="1" ht="11.25">
      <c r="A60" s="36" t="str">
        <f>'Обобщенный расчет'!B33</f>
        <v>Мебель</v>
      </c>
      <c r="B60" s="37" t="s">
        <v>105</v>
      </c>
      <c r="C60" s="49">
        <f>'Обобщенный расчет'!$D$33</f>
        <v>550000</v>
      </c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79">
        <f t="shared" si="185"/>
        <v>0</v>
      </c>
      <c r="Q60" s="7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79">
        <f t="shared" si="186"/>
        <v>0</v>
      </c>
      <c r="AE60" s="7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79">
        <f t="shared" si="187"/>
        <v>0</v>
      </c>
      <c r="AS60" s="79"/>
      <c r="AT60" s="79">
        <f t="shared" si="188"/>
        <v>0</v>
      </c>
      <c r="AU60" s="50"/>
    </row>
    <row r="61" spans="1:47" s="48" customFormat="1" ht="11.25">
      <c r="A61" s="32" t="str">
        <f>'Обобщенный расчет'!B35</f>
        <v>Оборудование</v>
      </c>
      <c r="B61" s="33" t="s">
        <v>105</v>
      </c>
      <c r="C61" s="46">
        <f>'Обобщенный расчет'!$D$35</f>
        <v>1350000</v>
      </c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185">
        <f t="shared" si="185"/>
        <v>0</v>
      </c>
      <c r="Q61" s="185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185">
        <f t="shared" si="186"/>
        <v>0</v>
      </c>
      <c r="AE61" s="185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185">
        <f t="shared" si="187"/>
        <v>0</v>
      </c>
      <c r="AS61" s="185"/>
      <c r="AT61" s="185">
        <f t="shared" si="188"/>
        <v>0</v>
      </c>
      <c r="AU61" s="47"/>
    </row>
    <row r="62" spans="1:47" s="51" customFormat="1" ht="11.25">
      <c r="A62" s="88" t="str">
        <f>'Обобщенный расчет'!B37</f>
        <v>Компьютеры, п/о</v>
      </c>
      <c r="B62" s="37" t="s">
        <v>105</v>
      </c>
      <c r="C62" s="49">
        <f>'Обобщенный расчет'!$D$37</f>
        <v>100000</v>
      </c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79">
        <f t="shared" si="185"/>
        <v>0</v>
      </c>
      <c r="Q62" s="7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79">
        <f t="shared" si="186"/>
        <v>0</v>
      </c>
      <c r="AE62" s="7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79">
        <f t="shared" si="187"/>
        <v>0</v>
      </c>
      <c r="AS62" s="79"/>
      <c r="AT62" s="79">
        <f t="shared" si="188"/>
        <v>0</v>
      </c>
      <c r="AU62" s="50"/>
    </row>
    <row r="63" spans="1:47" s="48" customFormat="1" ht="11.25">
      <c r="A63" s="87" t="str">
        <f>'Обобщенный расчет'!B39</f>
        <v>Видеонаблюдение</v>
      </c>
      <c r="B63" s="33" t="s">
        <v>105</v>
      </c>
      <c r="C63" s="46">
        <f>'Обобщенный расчет'!$D$39</f>
        <v>50000</v>
      </c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185">
        <f t="shared" si="185"/>
        <v>0</v>
      </c>
      <c r="Q63" s="185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185">
        <f t="shared" si="186"/>
        <v>0</v>
      </c>
      <c r="AE63" s="185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85">
        <f t="shared" si="187"/>
        <v>0</v>
      </c>
      <c r="AS63" s="185"/>
      <c r="AT63" s="185">
        <f t="shared" si="188"/>
        <v>0</v>
      </c>
      <c r="AU63" s="47"/>
    </row>
    <row r="64" spans="1:47" s="51" customFormat="1" ht="11.25">
      <c r="A64" s="88" t="str">
        <f>'Обобщенный расчет'!B41</f>
        <v>Офисная техника</v>
      </c>
      <c r="B64" s="37" t="s">
        <v>105</v>
      </c>
      <c r="C64" s="49">
        <f>'Обобщенный расчет'!$D$41</f>
        <v>50000</v>
      </c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79">
        <f t="shared" si="185"/>
        <v>0</v>
      </c>
      <c r="Q64" s="7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79">
        <f t="shared" si="186"/>
        <v>0</v>
      </c>
      <c r="AE64" s="7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79">
        <f t="shared" si="187"/>
        <v>0</v>
      </c>
      <c r="AS64" s="79"/>
      <c r="AT64" s="79">
        <f t="shared" si="188"/>
        <v>0</v>
      </c>
      <c r="AU64" s="50"/>
    </row>
    <row r="65" spans="1:47" s="48" customFormat="1" ht="11.25">
      <c r="A65" s="87" t="str">
        <f>'Обобщенный расчет'!B43</f>
        <v>Рекламная кампания</v>
      </c>
      <c r="B65" s="33" t="s">
        <v>105</v>
      </c>
      <c r="C65" s="46">
        <f>'Обобщенный расчет'!$D$43</f>
        <v>270000</v>
      </c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185">
        <f t="shared" si="185"/>
        <v>0</v>
      </c>
      <c r="Q65" s="185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185">
        <f t="shared" si="186"/>
        <v>0</v>
      </c>
      <c r="AE65" s="185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185">
        <f t="shared" si="187"/>
        <v>0</v>
      </c>
      <c r="AS65" s="185"/>
      <c r="AT65" s="185">
        <f t="shared" si="188"/>
        <v>0</v>
      </c>
      <c r="AU65" s="47"/>
    </row>
    <row r="66" spans="1:47" s="51" customFormat="1" ht="11.25">
      <c r="A66" s="88" t="str">
        <f>'Обобщенный расчет'!B45</f>
        <v>Вентиляция, сигнализация</v>
      </c>
      <c r="B66" s="37" t="s">
        <v>105</v>
      </c>
      <c r="C66" s="49">
        <f>'Обобщенный расчет'!$D$45</f>
        <v>130000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79">
        <f t="shared" si="185"/>
        <v>0</v>
      </c>
      <c r="Q66" s="7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79">
        <f t="shared" si="186"/>
        <v>0</v>
      </c>
      <c r="AE66" s="7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79">
        <f t="shared" si="187"/>
        <v>0</v>
      </c>
      <c r="AS66" s="79"/>
      <c r="AT66" s="79">
        <f t="shared" si="188"/>
        <v>0</v>
      </c>
      <c r="AU66" s="50"/>
    </row>
    <row r="67" spans="1:47" s="48" customFormat="1" ht="11.25">
      <c r="A67" s="87" t="str">
        <f>'Обобщенный расчет'!B47</f>
        <v>Паушальный взнос</v>
      </c>
      <c r="B67" s="33" t="s">
        <v>105</v>
      </c>
      <c r="C67" s="46">
        <f>'Обобщенный расчет'!$D$47</f>
        <v>378000</v>
      </c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185">
        <f t="shared" si="185"/>
        <v>0</v>
      </c>
      <c r="Q67" s="185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185">
        <f t="shared" si="186"/>
        <v>0</v>
      </c>
      <c r="AE67" s="185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185">
        <f t="shared" si="187"/>
        <v>0</v>
      </c>
      <c r="AS67" s="185"/>
      <c r="AT67" s="185">
        <f t="shared" si="188"/>
        <v>0</v>
      </c>
      <c r="AU67" s="47"/>
    </row>
    <row r="68" spans="1:47" s="51" customFormat="1" ht="11.25">
      <c r="A68" s="88" t="str">
        <f>'Обобщенный расчет'!B49</f>
        <v>Прочее</v>
      </c>
      <c r="B68" s="37" t="s">
        <v>105</v>
      </c>
      <c r="C68" s="49">
        <f>'Обобщенный расчет'!$D$49</f>
        <v>150000</v>
      </c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79">
        <f t="shared" si="185"/>
        <v>0</v>
      </c>
      <c r="Q68" s="7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79">
        <f t="shared" si="186"/>
        <v>0</v>
      </c>
      <c r="AE68" s="7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79">
        <f t="shared" si="187"/>
        <v>0</v>
      </c>
      <c r="AS68" s="79"/>
      <c r="AT68" s="79">
        <f t="shared" si="188"/>
        <v>0</v>
      </c>
      <c r="AU68" s="50"/>
    </row>
    <row r="69" spans="1:47" s="40" customFormat="1" ht="11.25">
      <c r="A69" s="41" t="s">
        <v>23</v>
      </c>
      <c r="B69" s="42" t="s">
        <v>105</v>
      </c>
      <c r="C69" s="169">
        <f>SUM(C59:C68)</f>
        <v>4458000</v>
      </c>
      <c r="D69" s="169">
        <f>SUM(D59:D68)</f>
        <v>0</v>
      </c>
      <c r="E69" s="169">
        <f t="shared" ref="E69:P69" si="189">SUM(E59:E68)</f>
        <v>0</v>
      </c>
      <c r="F69" s="169">
        <f t="shared" si="189"/>
        <v>0</v>
      </c>
      <c r="G69" s="169">
        <f t="shared" si="189"/>
        <v>0</v>
      </c>
      <c r="H69" s="169">
        <f t="shared" si="189"/>
        <v>0</v>
      </c>
      <c r="I69" s="169">
        <f t="shared" si="189"/>
        <v>0</v>
      </c>
      <c r="J69" s="169">
        <f t="shared" si="189"/>
        <v>0</v>
      </c>
      <c r="K69" s="169">
        <f t="shared" si="189"/>
        <v>0</v>
      </c>
      <c r="L69" s="169">
        <f t="shared" si="189"/>
        <v>0</v>
      </c>
      <c r="M69" s="169">
        <f t="shared" si="189"/>
        <v>0</v>
      </c>
      <c r="N69" s="169">
        <f t="shared" si="189"/>
        <v>0</v>
      </c>
      <c r="O69" s="169">
        <f t="shared" si="189"/>
        <v>0</v>
      </c>
      <c r="P69" s="169">
        <f t="shared" si="189"/>
        <v>0</v>
      </c>
      <c r="Q69" s="169"/>
      <c r="R69" s="169">
        <f t="shared" ref="R69:AD69" si="190">SUM(R59:R68)</f>
        <v>0</v>
      </c>
      <c r="S69" s="169">
        <f t="shared" si="190"/>
        <v>0</v>
      </c>
      <c r="T69" s="169">
        <f t="shared" si="190"/>
        <v>0</v>
      </c>
      <c r="U69" s="169">
        <f t="shared" si="190"/>
        <v>0</v>
      </c>
      <c r="V69" s="169">
        <f t="shared" si="190"/>
        <v>0</v>
      </c>
      <c r="W69" s="169">
        <f t="shared" si="190"/>
        <v>0</v>
      </c>
      <c r="X69" s="169">
        <f t="shared" si="190"/>
        <v>0</v>
      </c>
      <c r="Y69" s="169">
        <f t="shared" si="190"/>
        <v>0</v>
      </c>
      <c r="Z69" s="169">
        <f t="shared" si="190"/>
        <v>0</v>
      </c>
      <c r="AA69" s="169">
        <f t="shared" si="190"/>
        <v>0</v>
      </c>
      <c r="AB69" s="169">
        <f t="shared" si="190"/>
        <v>0</v>
      </c>
      <c r="AC69" s="169">
        <f t="shared" si="190"/>
        <v>0</v>
      </c>
      <c r="AD69" s="169">
        <f t="shared" si="190"/>
        <v>0</v>
      </c>
      <c r="AE69" s="169"/>
      <c r="AF69" s="169">
        <f t="shared" ref="AF69:AR69" si="191">SUM(AF59:AF68)</f>
        <v>0</v>
      </c>
      <c r="AG69" s="169">
        <f t="shared" si="191"/>
        <v>0</v>
      </c>
      <c r="AH69" s="169">
        <f t="shared" si="191"/>
        <v>0</v>
      </c>
      <c r="AI69" s="169">
        <f t="shared" si="191"/>
        <v>0</v>
      </c>
      <c r="AJ69" s="169">
        <f t="shared" si="191"/>
        <v>0</v>
      </c>
      <c r="AK69" s="169">
        <f t="shared" si="191"/>
        <v>0</v>
      </c>
      <c r="AL69" s="169">
        <f t="shared" si="191"/>
        <v>0</v>
      </c>
      <c r="AM69" s="169">
        <f t="shared" si="191"/>
        <v>0</v>
      </c>
      <c r="AN69" s="169">
        <f t="shared" si="191"/>
        <v>0</v>
      </c>
      <c r="AO69" s="169">
        <f t="shared" si="191"/>
        <v>0</v>
      </c>
      <c r="AP69" s="169">
        <f t="shared" si="191"/>
        <v>0</v>
      </c>
      <c r="AQ69" s="169">
        <f t="shared" si="191"/>
        <v>0</v>
      </c>
      <c r="AR69" s="169">
        <f t="shared" si="191"/>
        <v>0</v>
      </c>
      <c r="AS69" s="169"/>
      <c r="AT69" s="169">
        <f>P69+AD69+AR69</f>
        <v>0</v>
      </c>
      <c r="AU69" s="39"/>
    </row>
    <row r="70" spans="1:47" s="93" customFormat="1" ht="12" thickBot="1">
      <c r="A70" s="89"/>
      <c r="B70" s="90"/>
      <c r="C70" s="90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2"/>
    </row>
    <row r="71" spans="1:47" s="17" customFormat="1" ht="24" thickTop="1" thickBot="1">
      <c r="A71" s="18" t="s">
        <v>22</v>
      </c>
      <c r="B71" s="19"/>
      <c r="C71" s="19"/>
      <c r="D71" s="28" t="str">
        <f t="shared" ref="D71:O71" si="192">D$6</f>
        <v>сентябрь</v>
      </c>
      <c r="E71" s="28" t="str">
        <f t="shared" si="192"/>
        <v>октябрь</v>
      </c>
      <c r="F71" s="28" t="str">
        <f t="shared" si="192"/>
        <v>ноябрь</v>
      </c>
      <c r="G71" s="28" t="str">
        <f t="shared" si="192"/>
        <v>декабрь</v>
      </c>
      <c r="H71" s="28" t="str">
        <f t="shared" si="192"/>
        <v>январь</v>
      </c>
      <c r="I71" s="28" t="str">
        <f t="shared" si="192"/>
        <v>февраль</v>
      </c>
      <c r="J71" s="28" t="str">
        <f t="shared" si="192"/>
        <v>март</v>
      </c>
      <c r="K71" s="28" t="str">
        <f t="shared" si="192"/>
        <v>апрель</v>
      </c>
      <c r="L71" s="28" t="str">
        <f t="shared" si="192"/>
        <v>май</v>
      </c>
      <c r="M71" s="28" t="str">
        <f t="shared" si="192"/>
        <v>июнь</v>
      </c>
      <c r="N71" s="28" t="str">
        <f t="shared" si="192"/>
        <v>июль</v>
      </c>
      <c r="O71" s="28" t="str">
        <f t="shared" si="192"/>
        <v>август</v>
      </c>
      <c r="P71" s="186" t="str">
        <f>P57</f>
        <v>Итого за 1-й год</v>
      </c>
      <c r="Q71" s="186" t="str">
        <f>Q57</f>
        <v>Среднемесячно за 1-й год</v>
      </c>
      <c r="R71" s="28" t="str">
        <f t="shared" ref="R71:AC71" si="193">R$6</f>
        <v>сентябрь</v>
      </c>
      <c r="S71" s="28" t="str">
        <f t="shared" si="193"/>
        <v>октябрь</v>
      </c>
      <c r="T71" s="28" t="str">
        <f t="shared" si="193"/>
        <v>ноябрь</v>
      </c>
      <c r="U71" s="28" t="str">
        <f t="shared" si="193"/>
        <v>декабрь</v>
      </c>
      <c r="V71" s="28" t="str">
        <f t="shared" si="193"/>
        <v>январь</v>
      </c>
      <c r="W71" s="28" t="str">
        <f t="shared" si="193"/>
        <v>февраль</v>
      </c>
      <c r="X71" s="28" t="str">
        <f t="shared" si="193"/>
        <v>март</v>
      </c>
      <c r="Y71" s="28" t="str">
        <f t="shared" si="193"/>
        <v>апрель</v>
      </c>
      <c r="Z71" s="28" t="str">
        <f t="shared" si="193"/>
        <v>май</v>
      </c>
      <c r="AA71" s="28" t="str">
        <f t="shared" si="193"/>
        <v>июнь</v>
      </c>
      <c r="AB71" s="28" t="str">
        <f t="shared" si="193"/>
        <v>июль</v>
      </c>
      <c r="AC71" s="28" t="str">
        <f t="shared" si="193"/>
        <v>август</v>
      </c>
      <c r="AD71" s="186" t="str">
        <f>AD57</f>
        <v>Итого за 2-й год</v>
      </c>
      <c r="AE71" s="186" t="str">
        <f>AE57</f>
        <v>Среднемесячно за 2-й год</v>
      </c>
      <c r="AF71" s="28" t="str">
        <f t="shared" ref="AF71:AQ71" si="194">AF$6</f>
        <v>сентябрь</v>
      </c>
      <c r="AG71" s="28" t="str">
        <f t="shared" si="194"/>
        <v>октябрь</v>
      </c>
      <c r="AH71" s="28" t="str">
        <f t="shared" si="194"/>
        <v>ноябрь</v>
      </c>
      <c r="AI71" s="28" t="str">
        <f t="shared" si="194"/>
        <v>декабрь</v>
      </c>
      <c r="AJ71" s="28" t="str">
        <f t="shared" si="194"/>
        <v>январь</v>
      </c>
      <c r="AK71" s="28" t="str">
        <f t="shared" si="194"/>
        <v>февраль</v>
      </c>
      <c r="AL71" s="28" t="str">
        <f t="shared" si="194"/>
        <v>март</v>
      </c>
      <c r="AM71" s="28" t="str">
        <f t="shared" si="194"/>
        <v>апрель</v>
      </c>
      <c r="AN71" s="28" t="str">
        <f t="shared" si="194"/>
        <v>май</v>
      </c>
      <c r="AO71" s="28" t="str">
        <f t="shared" si="194"/>
        <v>июнь</v>
      </c>
      <c r="AP71" s="28" t="str">
        <f t="shared" si="194"/>
        <v>июль</v>
      </c>
      <c r="AQ71" s="28" t="str">
        <f t="shared" si="194"/>
        <v>август</v>
      </c>
      <c r="AR71" s="186" t="str">
        <f>AR57</f>
        <v>Итого за 3-й год</v>
      </c>
      <c r="AS71" s="186" t="str">
        <f>AS57</f>
        <v>Среднемесячно за 3-й год</v>
      </c>
      <c r="AT71" s="284" t="str">
        <f>AT57</f>
        <v>Итого за три года</v>
      </c>
    </row>
    <row r="72" spans="1:47" s="17" customFormat="1" ht="12" thickTop="1">
      <c r="A72" s="53"/>
      <c r="B72" s="54"/>
      <c r="C72" s="54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188"/>
      <c r="Q72" s="188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188"/>
      <c r="AE72" s="188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188"/>
      <c r="AS72" s="188"/>
      <c r="AT72" s="55"/>
    </row>
    <row r="73" spans="1:47" s="51" customFormat="1" ht="11.25">
      <c r="A73" s="88" t="str">
        <f>'Обобщенный расчет'!B56</f>
        <v>Зарплата менеджера</v>
      </c>
      <c r="B73" s="37" t="s">
        <v>105</v>
      </c>
      <c r="C73" s="37"/>
      <c r="D73" s="49">
        <f>'Обобщенный расчет'!$H$56*D$9</f>
        <v>30000</v>
      </c>
      <c r="E73" s="49">
        <f>'Обобщенный расчет'!$H$56*E$9</f>
        <v>30000</v>
      </c>
      <c r="F73" s="49">
        <f>'Обобщенный расчет'!$H$56*F$9</f>
        <v>30000</v>
      </c>
      <c r="G73" s="49">
        <f>'Обобщенный расчет'!$H$56*G$9</f>
        <v>30000</v>
      </c>
      <c r="H73" s="49">
        <f>'Обобщенный расчет'!$H$56*H$9</f>
        <v>30000</v>
      </c>
      <c r="I73" s="49">
        <f>'Обобщенный расчет'!$H$56*I$9</f>
        <v>30000</v>
      </c>
      <c r="J73" s="49">
        <f>'Обобщенный расчет'!$H$56*J$9</f>
        <v>30000</v>
      </c>
      <c r="K73" s="49">
        <f>'Обобщенный расчет'!$H$56*K$9</f>
        <v>30000</v>
      </c>
      <c r="L73" s="49">
        <f>'Обобщенный расчет'!$H$56*L$9</f>
        <v>30000</v>
      </c>
      <c r="M73" s="49">
        <f>'Обобщенный расчет'!$H$56*M$9</f>
        <v>30000</v>
      </c>
      <c r="N73" s="49">
        <f>'Обобщенный расчет'!$H$56*N$9</f>
        <v>30000</v>
      </c>
      <c r="O73" s="49">
        <f>'Обобщенный расчет'!$H$56*O$9</f>
        <v>30000</v>
      </c>
      <c r="P73" s="79">
        <f>SUM(D73:O73)</f>
        <v>360000</v>
      </c>
      <c r="Q73" s="79">
        <f>P73/12</f>
        <v>30000</v>
      </c>
      <c r="R73" s="49">
        <f>'Обобщенный расчет'!$H$56*R$9</f>
        <v>30000</v>
      </c>
      <c r="S73" s="49">
        <f>'Обобщенный расчет'!$H$56*S$9</f>
        <v>30000</v>
      </c>
      <c r="T73" s="49">
        <f>'Обобщенный расчет'!$H$56*T$9</f>
        <v>30000</v>
      </c>
      <c r="U73" s="49">
        <f>'Обобщенный расчет'!$H$56*U$9</f>
        <v>30000</v>
      </c>
      <c r="V73" s="49">
        <f>'Обобщенный расчет'!$H$56*V$9</f>
        <v>30000</v>
      </c>
      <c r="W73" s="49">
        <f>'Обобщенный расчет'!$H$56*W$9</f>
        <v>30000</v>
      </c>
      <c r="X73" s="49">
        <f>'Обобщенный расчет'!$H$56*X$9</f>
        <v>30000</v>
      </c>
      <c r="Y73" s="49">
        <f>'Обобщенный расчет'!$H$56*Y$9</f>
        <v>30000</v>
      </c>
      <c r="Z73" s="49">
        <f>'Обобщенный расчет'!$H$56*Z$9</f>
        <v>30000</v>
      </c>
      <c r="AA73" s="49">
        <f>'Обобщенный расчет'!$H$56*AA$9</f>
        <v>30000</v>
      </c>
      <c r="AB73" s="49">
        <f>'Обобщенный расчет'!$H$56*AB$9</f>
        <v>30000</v>
      </c>
      <c r="AC73" s="49">
        <f>'Обобщенный расчет'!$H$56*AC$9</f>
        <v>30000</v>
      </c>
      <c r="AD73" s="79">
        <f>SUM(R73:AC73)</f>
        <v>360000</v>
      </c>
      <c r="AE73" s="79">
        <f>AD73/12</f>
        <v>30000</v>
      </c>
      <c r="AF73" s="49">
        <f>'Обобщенный расчет'!$H$56*AF$9</f>
        <v>30000</v>
      </c>
      <c r="AG73" s="49">
        <f>'Обобщенный расчет'!$H$56*AG$9</f>
        <v>30000</v>
      </c>
      <c r="AH73" s="49">
        <f>'Обобщенный расчет'!$H$56*AH$9</f>
        <v>30000</v>
      </c>
      <c r="AI73" s="49">
        <f>'Обобщенный расчет'!$H$56*AI$9</f>
        <v>30000</v>
      </c>
      <c r="AJ73" s="49">
        <f>'Обобщенный расчет'!$H$56*AJ$9</f>
        <v>30000</v>
      </c>
      <c r="AK73" s="49">
        <f>'Обобщенный расчет'!$H$56*AK$9</f>
        <v>30000</v>
      </c>
      <c r="AL73" s="49">
        <f>'Обобщенный расчет'!$H$56*AL$9</f>
        <v>30000</v>
      </c>
      <c r="AM73" s="49">
        <f>'Обобщенный расчет'!$H$56*AM$9</f>
        <v>30000</v>
      </c>
      <c r="AN73" s="49">
        <f>'Обобщенный расчет'!$H$56*AN$9</f>
        <v>30000</v>
      </c>
      <c r="AO73" s="49">
        <f>'Обобщенный расчет'!$H$56*AO$9</f>
        <v>30000</v>
      </c>
      <c r="AP73" s="49">
        <f>'Обобщенный расчет'!$H$56*AP$9</f>
        <v>30000</v>
      </c>
      <c r="AQ73" s="49">
        <f>'Обобщенный расчет'!$H$56*AQ$9</f>
        <v>30000</v>
      </c>
      <c r="AR73" s="79">
        <f>SUM(AF73:AQ73)</f>
        <v>360000</v>
      </c>
      <c r="AS73" s="79">
        <f>AR73/12</f>
        <v>30000</v>
      </c>
      <c r="AT73" s="79">
        <f>P73+AD73+AR73</f>
        <v>1080000</v>
      </c>
      <c r="AU73" s="50"/>
    </row>
    <row r="74" spans="1:47" s="48" customFormat="1" ht="11.25">
      <c r="A74" s="87" t="str">
        <f>'Обобщенный расчет'!B58</f>
        <v>Зарплата барменов</v>
      </c>
      <c r="B74" s="33" t="s">
        <v>105</v>
      </c>
      <c r="C74" s="33"/>
      <c r="D74" s="46">
        <f>'Обобщенный расчет'!$H$58*D$9</f>
        <v>63840</v>
      </c>
      <c r="E74" s="46">
        <f>'Обобщенный расчет'!$H$58*E$9</f>
        <v>63840</v>
      </c>
      <c r="F74" s="46">
        <f>'Обобщенный расчет'!$H$58*F$9</f>
        <v>63840</v>
      </c>
      <c r="G74" s="46">
        <f>'Обобщенный расчет'!$H$58*G$9</f>
        <v>63840</v>
      </c>
      <c r="H74" s="46">
        <f>'Обобщенный расчет'!$H$58*H$9</f>
        <v>63840</v>
      </c>
      <c r="I74" s="46">
        <f>'Обобщенный расчет'!$H$58*I$9</f>
        <v>63840</v>
      </c>
      <c r="J74" s="46">
        <f>'Обобщенный расчет'!$H$58*J$9</f>
        <v>63840</v>
      </c>
      <c r="K74" s="46">
        <f>'Обобщенный расчет'!$H$58*K$9</f>
        <v>63840</v>
      </c>
      <c r="L74" s="46">
        <f>'Обобщенный расчет'!$H$58*L$9</f>
        <v>63840</v>
      </c>
      <c r="M74" s="46">
        <f>'Обобщенный расчет'!$H$58*M$9</f>
        <v>63840</v>
      </c>
      <c r="N74" s="46">
        <f>'Обобщенный расчет'!$H$58*N$9</f>
        <v>63840</v>
      </c>
      <c r="O74" s="46">
        <f>'Обобщенный расчет'!$H$58*O$9</f>
        <v>63840</v>
      </c>
      <c r="P74" s="185">
        <f t="shared" ref="P74:P94" si="195">SUM(D74:O74)</f>
        <v>766080</v>
      </c>
      <c r="Q74" s="185">
        <f t="shared" ref="Q74:Q94" si="196">P74/12</f>
        <v>63840</v>
      </c>
      <c r="R74" s="46">
        <f>'Обобщенный расчет'!$H$58*R$9</f>
        <v>63840</v>
      </c>
      <c r="S74" s="46">
        <f>'Обобщенный расчет'!$H$58*S$9</f>
        <v>63840</v>
      </c>
      <c r="T74" s="46">
        <f>'Обобщенный расчет'!$H$58*T$9</f>
        <v>63840</v>
      </c>
      <c r="U74" s="46">
        <f>'Обобщенный расчет'!$H$58*U$9</f>
        <v>63840</v>
      </c>
      <c r="V74" s="46">
        <f>'Обобщенный расчет'!$H$58*V$9</f>
        <v>63840</v>
      </c>
      <c r="W74" s="46">
        <f>'Обобщенный расчет'!$H$58*W$9</f>
        <v>63840</v>
      </c>
      <c r="X74" s="46">
        <f>'Обобщенный расчет'!$H$58*X$9</f>
        <v>63840</v>
      </c>
      <c r="Y74" s="46">
        <f>'Обобщенный расчет'!$H$58*Y$9</f>
        <v>63840</v>
      </c>
      <c r="Z74" s="46">
        <f>'Обобщенный расчет'!$H$58*Z$9</f>
        <v>63840</v>
      </c>
      <c r="AA74" s="46">
        <f>'Обобщенный расчет'!$H$58*AA$9</f>
        <v>63840</v>
      </c>
      <c r="AB74" s="46">
        <f>'Обобщенный расчет'!$H$58*AB$9</f>
        <v>63840</v>
      </c>
      <c r="AC74" s="46">
        <f>'Обобщенный расчет'!$H$58*AC$9</f>
        <v>63840</v>
      </c>
      <c r="AD74" s="185">
        <f t="shared" ref="AD74:AD95" si="197">SUM(R74:AC74)</f>
        <v>766080</v>
      </c>
      <c r="AE74" s="185">
        <f t="shared" ref="AE74:AE95" si="198">AD74/12</f>
        <v>63840</v>
      </c>
      <c r="AF74" s="46">
        <f>'Обобщенный расчет'!$H$58*AF$9</f>
        <v>63840</v>
      </c>
      <c r="AG74" s="46">
        <f>'Обобщенный расчет'!$H$58*AG$9</f>
        <v>63840</v>
      </c>
      <c r="AH74" s="46">
        <f>'Обобщенный расчет'!$H$58*AH$9</f>
        <v>63840</v>
      </c>
      <c r="AI74" s="46">
        <f>'Обобщенный расчет'!$H$58*AI$9</f>
        <v>63840</v>
      </c>
      <c r="AJ74" s="46">
        <f>'Обобщенный расчет'!$H$58*AJ$9</f>
        <v>63840</v>
      </c>
      <c r="AK74" s="46">
        <f>'Обобщенный расчет'!$H$58*AK$9</f>
        <v>63840</v>
      </c>
      <c r="AL74" s="46">
        <f>'Обобщенный расчет'!$H$58*AL$9</f>
        <v>63840</v>
      </c>
      <c r="AM74" s="46">
        <f>'Обобщенный расчет'!$H$58*AM$9</f>
        <v>63840</v>
      </c>
      <c r="AN74" s="46">
        <f>'Обобщенный расчет'!$H$58*AN$9</f>
        <v>63840</v>
      </c>
      <c r="AO74" s="46">
        <f>'Обобщенный расчет'!$H$58*AO$9</f>
        <v>63840</v>
      </c>
      <c r="AP74" s="46">
        <f>'Обобщенный расчет'!$H$58*AP$9</f>
        <v>63840</v>
      </c>
      <c r="AQ74" s="46">
        <f>'Обобщенный расчет'!$H$58*AQ$9</f>
        <v>63840</v>
      </c>
      <c r="AR74" s="185">
        <f t="shared" ref="AR74:AR95" si="199">SUM(AF74:AQ74)</f>
        <v>766080</v>
      </c>
      <c r="AS74" s="185">
        <f t="shared" ref="AS74:AS95" si="200">AR74/12</f>
        <v>63840</v>
      </c>
      <c r="AT74" s="185">
        <f t="shared" ref="AT74:AT96" si="201">P74+AD74+AR74</f>
        <v>2298240</v>
      </c>
      <c r="AU74" s="47"/>
    </row>
    <row r="75" spans="1:47" s="51" customFormat="1" ht="11.25">
      <c r="A75" s="88" t="str">
        <f>'Обобщенный расчет'!B60</f>
        <v>Зарплата официантов</v>
      </c>
      <c r="B75" s="37" t="s">
        <v>105</v>
      </c>
      <c r="C75" s="37"/>
      <c r="D75" s="49">
        <f>'Обобщенный расчет'!$H$60*D$9</f>
        <v>0</v>
      </c>
      <c r="E75" s="49">
        <f>'Обобщенный расчет'!$H$60*E$9</f>
        <v>0</v>
      </c>
      <c r="F75" s="49">
        <f>'Обобщенный расчет'!$H$60*F$9</f>
        <v>0</v>
      </c>
      <c r="G75" s="49">
        <f>'Обобщенный расчет'!$H$60*G$9</f>
        <v>0</v>
      </c>
      <c r="H75" s="49">
        <f>'Обобщенный расчет'!$H$60*H$9</f>
        <v>0</v>
      </c>
      <c r="I75" s="49">
        <f>'Обобщенный расчет'!$H$60*I$9</f>
        <v>0</v>
      </c>
      <c r="J75" s="49">
        <f>'Обобщенный расчет'!$H$60*J$9</f>
        <v>0</v>
      </c>
      <c r="K75" s="49">
        <f>'Обобщенный расчет'!$H$60*K$9</f>
        <v>0</v>
      </c>
      <c r="L75" s="49">
        <f>'Обобщенный расчет'!$H$60*L$9</f>
        <v>0</v>
      </c>
      <c r="M75" s="49">
        <f>'Обобщенный расчет'!$H$60*M$9</f>
        <v>0</v>
      </c>
      <c r="N75" s="49">
        <f>'Обобщенный расчет'!$H$60*N$9</f>
        <v>0</v>
      </c>
      <c r="O75" s="49">
        <f>'Обобщенный расчет'!$H$60*O$9</f>
        <v>0</v>
      </c>
      <c r="P75" s="79">
        <f t="shared" si="195"/>
        <v>0</v>
      </c>
      <c r="Q75" s="79">
        <f t="shared" si="196"/>
        <v>0</v>
      </c>
      <c r="R75" s="49">
        <f>'Обобщенный расчет'!$H$60*R$9</f>
        <v>0</v>
      </c>
      <c r="S75" s="49">
        <f>'Обобщенный расчет'!$H$60*S$9</f>
        <v>0</v>
      </c>
      <c r="T75" s="49">
        <f>'Обобщенный расчет'!$H$60*T$9</f>
        <v>0</v>
      </c>
      <c r="U75" s="49">
        <f>'Обобщенный расчет'!$H$60*U$9</f>
        <v>0</v>
      </c>
      <c r="V75" s="49">
        <f>'Обобщенный расчет'!$H$60*V$9</f>
        <v>0</v>
      </c>
      <c r="W75" s="49">
        <f>'Обобщенный расчет'!$H$60*W$9</f>
        <v>0</v>
      </c>
      <c r="X75" s="49">
        <f>'Обобщенный расчет'!$H$60*X$9</f>
        <v>0</v>
      </c>
      <c r="Y75" s="49">
        <f>'Обобщенный расчет'!$H$60*Y$9</f>
        <v>0</v>
      </c>
      <c r="Z75" s="49">
        <f>'Обобщенный расчет'!$H$60*Z$9</f>
        <v>0</v>
      </c>
      <c r="AA75" s="49">
        <f>'Обобщенный расчет'!$H$60*AA$9</f>
        <v>0</v>
      </c>
      <c r="AB75" s="49">
        <f>'Обобщенный расчет'!$H$60*AB$9</f>
        <v>0</v>
      </c>
      <c r="AC75" s="49">
        <f>'Обобщенный расчет'!$H$60*AC$9</f>
        <v>0</v>
      </c>
      <c r="AD75" s="79">
        <f t="shared" si="197"/>
        <v>0</v>
      </c>
      <c r="AE75" s="79">
        <f t="shared" si="198"/>
        <v>0</v>
      </c>
      <c r="AF75" s="49">
        <f>'Обобщенный расчет'!$H$60*AF$9</f>
        <v>0</v>
      </c>
      <c r="AG75" s="49">
        <f>'Обобщенный расчет'!$H$60*AG$9</f>
        <v>0</v>
      </c>
      <c r="AH75" s="49">
        <f>'Обобщенный расчет'!$H$60*AH$9</f>
        <v>0</v>
      </c>
      <c r="AI75" s="49">
        <f>'Обобщенный расчет'!$H$60*AI$9</f>
        <v>0</v>
      </c>
      <c r="AJ75" s="49">
        <f>'Обобщенный расчет'!$H$60*AJ$9</f>
        <v>0</v>
      </c>
      <c r="AK75" s="49">
        <f>'Обобщенный расчет'!$H$60*AK$9</f>
        <v>0</v>
      </c>
      <c r="AL75" s="49">
        <f>'Обобщенный расчет'!$H$60*AL$9</f>
        <v>0</v>
      </c>
      <c r="AM75" s="49">
        <f>'Обобщенный расчет'!$H$60*AM$9</f>
        <v>0</v>
      </c>
      <c r="AN75" s="49">
        <f>'Обобщенный расчет'!$H$60*AN$9</f>
        <v>0</v>
      </c>
      <c r="AO75" s="49">
        <f>'Обобщенный расчет'!$H$60*AO$9</f>
        <v>0</v>
      </c>
      <c r="AP75" s="49">
        <f>'Обобщенный расчет'!$H$60*AP$9</f>
        <v>0</v>
      </c>
      <c r="AQ75" s="49">
        <f>'Обобщенный расчет'!$H$60*AQ$9</f>
        <v>0</v>
      </c>
      <c r="AR75" s="79">
        <f t="shared" si="199"/>
        <v>0</v>
      </c>
      <c r="AS75" s="79">
        <f t="shared" si="200"/>
        <v>0</v>
      </c>
      <c r="AT75" s="79">
        <f t="shared" si="201"/>
        <v>0</v>
      </c>
      <c r="AU75" s="50"/>
    </row>
    <row r="76" spans="1:47" s="48" customFormat="1" ht="11.25">
      <c r="A76" s="87" t="str">
        <f>'Обобщенный расчет'!B62</f>
        <v>Зарплата  поваров</v>
      </c>
      <c r="B76" s="33" t="s">
        <v>105</v>
      </c>
      <c r="C76" s="33"/>
      <c r="D76" s="46">
        <f>'Обобщенный расчет'!$H$62*D$9</f>
        <v>63840</v>
      </c>
      <c r="E76" s="46">
        <f>'Обобщенный расчет'!$H$62*E$9</f>
        <v>63840</v>
      </c>
      <c r="F76" s="46">
        <f>'Обобщенный расчет'!$H$62*F$9</f>
        <v>63840</v>
      </c>
      <c r="G76" s="46">
        <f>'Обобщенный расчет'!$H$62*G$9</f>
        <v>63840</v>
      </c>
      <c r="H76" s="46">
        <f>'Обобщенный расчет'!$H$62*H$9</f>
        <v>63840</v>
      </c>
      <c r="I76" s="46">
        <f>'Обобщенный расчет'!$H$62*I$9</f>
        <v>63840</v>
      </c>
      <c r="J76" s="46">
        <f>'Обобщенный расчет'!$H$62*J$9</f>
        <v>63840</v>
      </c>
      <c r="K76" s="46">
        <f>'Обобщенный расчет'!$H$62*K$9</f>
        <v>63840</v>
      </c>
      <c r="L76" s="46">
        <f>'Обобщенный расчет'!$H$62*L$9</f>
        <v>63840</v>
      </c>
      <c r="M76" s="46">
        <f>'Обобщенный расчет'!$H$62*M$9</f>
        <v>63840</v>
      </c>
      <c r="N76" s="46">
        <f>'Обобщенный расчет'!$H$62*N$9</f>
        <v>63840</v>
      </c>
      <c r="O76" s="46">
        <f>'Обобщенный расчет'!$H$62*O$9</f>
        <v>63840</v>
      </c>
      <c r="P76" s="185">
        <f t="shared" si="195"/>
        <v>766080</v>
      </c>
      <c r="Q76" s="185">
        <f t="shared" si="196"/>
        <v>63840</v>
      </c>
      <c r="R76" s="46">
        <f>'Обобщенный расчет'!$H$62*R$9</f>
        <v>63840</v>
      </c>
      <c r="S76" s="46">
        <f>'Обобщенный расчет'!$H$62*S$9</f>
        <v>63840</v>
      </c>
      <c r="T76" s="46">
        <f>'Обобщенный расчет'!$H$62*T$9</f>
        <v>63840</v>
      </c>
      <c r="U76" s="46">
        <f>'Обобщенный расчет'!$H$62*U$9</f>
        <v>63840</v>
      </c>
      <c r="V76" s="46">
        <f>'Обобщенный расчет'!$H$62*V$9</f>
        <v>63840</v>
      </c>
      <c r="W76" s="46">
        <f>'Обобщенный расчет'!$H$62*W$9</f>
        <v>63840</v>
      </c>
      <c r="X76" s="46">
        <f>'Обобщенный расчет'!$H$62*X$9</f>
        <v>63840</v>
      </c>
      <c r="Y76" s="46">
        <f>'Обобщенный расчет'!$H$62*Y$9</f>
        <v>63840</v>
      </c>
      <c r="Z76" s="46">
        <f>'Обобщенный расчет'!$H$62*Z$9</f>
        <v>63840</v>
      </c>
      <c r="AA76" s="46">
        <f>'Обобщенный расчет'!$H$62*AA$9</f>
        <v>63840</v>
      </c>
      <c r="AB76" s="46">
        <f>'Обобщенный расчет'!$H$62*AB$9</f>
        <v>63840</v>
      </c>
      <c r="AC76" s="46">
        <f>'Обобщенный расчет'!$H$62*AC$9</f>
        <v>63840</v>
      </c>
      <c r="AD76" s="185">
        <f t="shared" si="197"/>
        <v>766080</v>
      </c>
      <c r="AE76" s="185">
        <f t="shared" si="198"/>
        <v>63840</v>
      </c>
      <c r="AF76" s="46">
        <f>'Обобщенный расчет'!$H$62*AF$9</f>
        <v>63840</v>
      </c>
      <c r="AG76" s="46">
        <f>'Обобщенный расчет'!$H$62*AG$9</f>
        <v>63840</v>
      </c>
      <c r="AH76" s="46">
        <f>'Обобщенный расчет'!$H$62*AH$9</f>
        <v>63840</v>
      </c>
      <c r="AI76" s="46">
        <f>'Обобщенный расчет'!$H$62*AI$9</f>
        <v>63840</v>
      </c>
      <c r="AJ76" s="46">
        <f>'Обобщенный расчет'!$H$62*AJ$9</f>
        <v>63840</v>
      </c>
      <c r="AK76" s="46">
        <f>'Обобщенный расчет'!$H$62*AK$9</f>
        <v>63840</v>
      </c>
      <c r="AL76" s="46">
        <f>'Обобщенный расчет'!$H$62*AL$9</f>
        <v>63840</v>
      </c>
      <c r="AM76" s="46">
        <f>'Обобщенный расчет'!$H$62*AM$9</f>
        <v>63840</v>
      </c>
      <c r="AN76" s="46">
        <f>'Обобщенный расчет'!$H$62*AN$9</f>
        <v>63840</v>
      </c>
      <c r="AO76" s="46">
        <f>'Обобщенный расчет'!$H$62*AO$9</f>
        <v>63840</v>
      </c>
      <c r="AP76" s="46">
        <f>'Обобщенный расчет'!$H$62*AP$9</f>
        <v>63840</v>
      </c>
      <c r="AQ76" s="46">
        <f>'Обобщенный расчет'!$H$62*AQ$9</f>
        <v>63840</v>
      </c>
      <c r="AR76" s="185">
        <f t="shared" si="199"/>
        <v>766080</v>
      </c>
      <c r="AS76" s="185">
        <f t="shared" si="200"/>
        <v>63840</v>
      </c>
      <c r="AT76" s="185">
        <f t="shared" si="201"/>
        <v>2298240</v>
      </c>
      <c r="AU76" s="47"/>
    </row>
    <row r="77" spans="1:47" s="51" customFormat="1" ht="11.25">
      <c r="A77" s="88" t="str">
        <f>'Обобщенный расчет'!B63</f>
        <v>Зарплата уборщицы</v>
      </c>
      <c r="B77" s="37" t="s">
        <v>105</v>
      </c>
      <c r="C77" s="37"/>
      <c r="D77" s="49">
        <f>'Обобщенный расчет'!$H$63*D$9</f>
        <v>18000</v>
      </c>
      <c r="E77" s="49">
        <f>'Обобщенный расчет'!$H$63*E$9</f>
        <v>18000</v>
      </c>
      <c r="F77" s="49">
        <f>'Обобщенный расчет'!$H$63*F$9</f>
        <v>18000</v>
      </c>
      <c r="G77" s="49">
        <f>'Обобщенный расчет'!$H$63*G$9</f>
        <v>18000</v>
      </c>
      <c r="H77" s="49">
        <f>'Обобщенный расчет'!$H$63*H$9</f>
        <v>18000</v>
      </c>
      <c r="I77" s="49">
        <f>'Обобщенный расчет'!$H$63*I$9</f>
        <v>18000</v>
      </c>
      <c r="J77" s="49">
        <f>'Обобщенный расчет'!$H$63*J$9</f>
        <v>18000</v>
      </c>
      <c r="K77" s="49">
        <f>'Обобщенный расчет'!$H$63*K$9</f>
        <v>18000</v>
      </c>
      <c r="L77" s="49">
        <f>'Обобщенный расчет'!$H$63*L$9</f>
        <v>18000</v>
      </c>
      <c r="M77" s="49">
        <f>'Обобщенный расчет'!$H$63*M$9</f>
        <v>18000</v>
      </c>
      <c r="N77" s="49">
        <f>'Обобщенный расчет'!$H$63*N$9</f>
        <v>18000</v>
      </c>
      <c r="O77" s="49">
        <f>'Обобщенный расчет'!$H$63*O$9</f>
        <v>18000</v>
      </c>
      <c r="P77" s="79">
        <f t="shared" si="195"/>
        <v>216000</v>
      </c>
      <c r="Q77" s="79">
        <f t="shared" si="196"/>
        <v>18000</v>
      </c>
      <c r="R77" s="49">
        <f>'Обобщенный расчет'!$H$63*R$9</f>
        <v>18000</v>
      </c>
      <c r="S77" s="49">
        <f>'Обобщенный расчет'!$H$63*S$9</f>
        <v>18000</v>
      </c>
      <c r="T77" s="49">
        <f>'Обобщенный расчет'!$H$63*T$9</f>
        <v>18000</v>
      </c>
      <c r="U77" s="49">
        <f>'Обобщенный расчет'!$H$63*U$9</f>
        <v>18000</v>
      </c>
      <c r="V77" s="49">
        <f>'Обобщенный расчет'!$H$63*V$9</f>
        <v>18000</v>
      </c>
      <c r="W77" s="49">
        <f>'Обобщенный расчет'!$H$63*W$9</f>
        <v>18000</v>
      </c>
      <c r="X77" s="49">
        <f>'Обобщенный расчет'!$H$63*X$9</f>
        <v>18000</v>
      </c>
      <c r="Y77" s="49">
        <f>'Обобщенный расчет'!$H$63*Y$9</f>
        <v>18000</v>
      </c>
      <c r="Z77" s="49">
        <f>'Обобщенный расчет'!$H$63*Z$9</f>
        <v>18000</v>
      </c>
      <c r="AA77" s="49">
        <f>'Обобщенный расчет'!$H$63*AA$9</f>
        <v>18000</v>
      </c>
      <c r="AB77" s="49">
        <f>'Обобщенный расчет'!$H$63*AB$9</f>
        <v>18000</v>
      </c>
      <c r="AC77" s="49">
        <f>'Обобщенный расчет'!$H$63*AC$9</f>
        <v>18000</v>
      </c>
      <c r="AD77" s="79">
        <f t="shared" si="197"/>
        <v>216000</v>
      </c>
      <c r="AE77" s="79">
        <f t="shared" si="198"/>
        <v>18000</v>
      </c>
      <c r="AF77" s="49">
        <f>'Обобщенный расчет'!$H$63*AF$9</f>
        <v>18000</v>
      </c>
      <c r="AG77" s="49">
        <f>'Обобщенный расчет'!$H$63*AG$9</f>
        <v>18000</v>
      </c>
      <c r="AH77" s="49">
        <f>'Обобщенный расчет'!$H$63*AH$9</f>
        <v>18000</v>
      </c>
      <c r="AI77" s="49">
        <f>'Обобщенный расчет'!$H$63*AI$9</f>
        <v>18000</v>
      </c>
      <c r="AJ77" s="49">
        <f>'Обобщенный расчет'!$H$63*AJ$9</f>
        <v>18000</v>
      </c>
      <c r="AK77" s="49">
        <f>'Обобщенный расчет'!$H$63*AK$9</f>
        <v>18000</v>
      </c>
      <c r="AL77" s="49">
        <f>'Обобщенный расчет'!$H$63*AL$9</f>
        <v>18000</v>
      </c>
      <c r="AM77" s="49">
        <f>'Обобщенный расчет'!$H$63*AM$9</f>
        <v>18000</v>
      </c>
      <c r="AN77" s="49">
        <f>'Обобщенный расчет'!$H$63*AN$9</f>
        <v>18000</v>
      </c>
      <c r="AO77" s="49">
        <f>'Обобщенный расчет'!$H$63*AO$9</f>
        <v>18000</v>
      </c>
      <c r="AP77" s="49">
        <f>'Обобщенный расчет'!$H$63*AP$9</f>
        <v>18000</v>
      </c>
      <c r="AQ77" s="49">
        <f>'Обобщенный расчет'!$H$63*AQ$9</f>
        <v>18000</v>
      </c>
      <c r="AR77" s="79">
        <f t="shared" si="199"/>
        <v>216000</v>
      </c>
      <c r="AS77" s="79">
        <f t="shared" si="200"/>
        <v>18000</v>
      </c>
      <c r="AT77" s="79">
        <f t="shared" si="201"/>
        <v>648000</v>
      </c>
      <c r="AU77" s="50"/>
    </row>
    <row r="78" spans="1:47" s="48" customFormat="1" ht="11.25">
      <c r="A78" s="87" t="str">
        <f>'Обобщенный расчет'!B64</f>
        <v>Зарплата снабженца</v>
      </c>
      <c r="B78" s="33" t="s">
        <v>105</v>
      </c>
      <c r="C78" s="33"/>
      <c r="D78" s="46">
        <f>'Обобщенный расчет'!$H$64*D$9</f>
        <v>15000</v>
      </c>
      <c r="E78" s="46">
        <f>'Обобщенный расчет'!$H$64*E$9</f>
        <v>15000</v>
      </c>
      <c r="F78" s="46">
        <f>'Обобщенный расчет'!$H$64*F$9</f>
        <v>15000</v>
      </c>
      <c r="G78" s="46">
        <f>'Обобщенный расчет'!$H$64*G$9</f>
        <v>15000</v>
      </c>
      <c r="H78" s="46">
        <f>'Обобщенный расчет'!$H$64*H$9</f>
        <v>15000</v>
      </c>
      <c r="I78" s="46">
        <f>'Обобщенный расчет'!$H$64*I$9</f>
        <v>15000</v>
      </c>
      <c r="J78" s="46">
        <f>'Обобщенный расчет'!$H$64*J$9</f>
        <v>15000</v>
      </c>
      <c r="K78" s="46">
        <f>'Обобщенный расчет'!$H$64*K$9</f>
        <v>15000</v>
      </c>
      <c r="L78" s="46">
        <f>'Обобщенный расчет'!$H$64*L$9</f>
        <v>15000</v>
      </c>
      <c r="M78" s="46">
        <f>'Обобщенный расчет'!$H$64*M$9</f>
        <v>15000</v>
      </c>
      <c r="N78" s="46">
        <f>'Обобщенный расчет'!$H$64*N$9</f>
        <v>15000</v>
      </c>
      <c r="O78" s="46">
        <f>'Обобщенный расчет'!$H$64*O$9</f>
        <v>15000</v>
      </c>
      <c r="P78" s="185">
        <f t="shared" si="195"/>
        <v>180000</v>
      </c>
      <c r="Q78" s="185">
        <f t="shared" si="196"/>
        <v>15000</v>
      </c>
      <c r="R78" s="46">
        <f>'Обобщенный расчет'!$H$64*R$9</f>
        <v>15000</v>
      </c>
      <c r="S78" s="46">
        <f>'Обобщенный расчет'!$H$64*S$9</f>
        <v>15000</v>
      </c>
      <c r="T78" s="46">
        <f>'Обобщенный расчет'!$H$64*T$9</f>
        <v>15000</v>
      </c>
      <c r="U78" s="46">
        <f>'Обобщенный расчет'!$H$64*U$9</f>
        <v>15000</v>
      </c>
      <c r="V78" s="46">
        <f>'Обобщенный расчет'!$H$64*V$9</f>
        <v>15000</v>
      </c>
      <c r="W78" s="46">
        <f>'Обобщенный расчет'!$H$64*W$9</f>
        <v>15000</v>
      </c>
      <c r="X78" s="46">
        <f>'Обобщенный расчет'!$H$64*X$9</f>
        <v>15000</v>
      </c>
      <c r="Y78" s="46">
        <f>'Обобщенный расчет'!$H$64*Y$9</f>
        <v>15000</v>
      </c>
      <c r="Z78" s="46">
        <f>'Обобщенный расчет'!$H$64*Z$9</f>
        <v>15000</v>
      </c>
      <c r="AA78" s="46">
        <f>'Обобщенный расчет'!$H$64*AA$9</f>
        <v>15000</v>
      </c>
      <c r="AB78" s="46">
        <f>'Обобщенный расчет'!$H$64*AB$9</f>
        <v>15000</v>
      </c>
      <c r="AC78" s="46">
        <f>'Обобщенный расчет'!$H$64*AC$9</f>
        <v>15000</v>
      </c>
      <c r="AD78" s="185">
        <f t="shared" si="197"/>
        <v>180000</v>
      </c>
      <c r="AE78" s="185">
        <f t="shared" si="198"/>
        <v>15000</v>
      </c>
      <c r="AF78" s="46">
        <f>'Обобщенный расчет'!$H$64*AF$9</f>
        <v>15000</v>
      </c>
      <c r="AG78" s="46">
        <f>'Обобщенный расчет'!$H$64*AG$9</f>
        <v>15000</v>
      </c>
      <c r="AH78" s="46">
        <f>'Обобщенный расчет'!$H$64*AH$9</f>
        <v>15000</v>
      </c>
      <c r="AI78" s="46">
        <f>'Обобщенный расчет'!$H$64*AI$9</f>
        <v>15000</v>
      </c>
      <c r="AJ78" s="46">
        <f>'Обобщенный расчет'!$H$64*AJ$9</f>
        <v>15000</v>
      </c>
      <c r="AK78" s="46">
        <f>'Обобщенный расчет'!$H$64*AK$9</f>
        <v>15000</v>
      </c>
      <c r="AL78" s="46">
        <f>'Обобщенный расчет'!$H$64*AL$9</f>
        <v>15000</v>
      </c>
      <c r="AM78" s="46">
        <f>'Обобщенный расчет'!$H$64*AM$9</f>
        <v>15000</v>
      </c>
      <c r="AN78" s="46">
        <f>'Обобщенный расчет'!$H$64*AN$9</f>
        <v>15000</v>
      </c>
      <c r="AO78" s="46">
        <f>'Обобщенный расчет'!$H$64*AO$9</f>
        <v>15000</v>
      </c>
      <c r="AP78" s="46">
        <f>'Обобщенный расчет'!$H$64*AP$9</f>
        <v>15000</v>
      </c>
      <c r="AQ78" s="46">
        <f>'Обобщенный расчет'!$H$64*AQ$9</f>
        <v>15000</v>
      </c>
      <c r="AR78" s="185">
        <f t="shared" si="199"/>
        <v>180000</v>
      </c>
      <c r="AS78" s="185">
        <f t="shared" si="200"/>
        <v>15000</v>
      </c>
      <c r="AT78" s="185">
        <f t="shared" si="201"/>
        <v>540000</v>
      </c>
      <c r="AU78" s="47"/>
    </row>
    <row r="79" spans="1:47" s="51" customFormat="1" ht="11.25">
      <c r="A79" s="88" t="str">
        <f>'Обобщенный расчет'!B65</f>
        <v>Зарплата бухгалтера</v>
      </c>
      <c r="B79" s="37" t="s">
        <v>105</v>
      </c>
      <c r="C79" s="37"/>
      <c r="D79" s="49">
        <f>'Обобщенный расчет'!$H$65*D$9</f>
        <v>10000</v>
      </c>
      <c r="E79" s="49">
        <f>'Обобщенный расчет'!$H$65*E$9</f>
        <v>10000</v>
      </c>
      <c r="F79" s="49">
        <f>'Обобщенный расчет'!$H$65*F$9</f>
        <v>10000</v>
      </c>
      <c r="G79" s="49">
        <f>'Обобщенный расчет'!$H$65*G$9</f>
        <v>10000</v>
      </c>
      <c r="H79" s="49">
        <f>'Обобщенный расчет'!$H$65*H$9</f>
        <v>10000</v>
      </c>
      <c r="I79" s="49">
        <f>'Обобщенный расчет'!$H$65*I$9</f>
        <v>10000</v>
      </c>
      <c r="J79" s="49">
        <f>'Обобщенный расчет'!$H$65*J$9</f>
        <v>10000</v>
      </c>
      <c r="K79" s="49">
        <f>'Обобщенный расчет'!$H$65*K$9</f>
        <v>10000</v>
      </c>
      <c r="L79" s="49">
        <f>'Обобщенный расчет'!$H$65*L$9</f>
        <v>10000</v>
      </c>
      <c r="M79" s="49">
        <f>'Обобщенный расчет'!$H$65*M$9</f>
        <v>10000</v>
      </c>
      <c r="N79" s="49">
        <f>'Обобщенный расчет'!$H$65*N$9</f>
        <v>10000</v>
      </c>
      <c r="O79" s="49">
        <f>'Обобщенный расчет'!$H$65*O$9</f>
        <v>10000</v>
      </c>
      <c r="P79" s="79">
        <f t="shared" si="195"/>
        <v>120000</v>
      </c>
      <c r="Q79" s="79">
        <f t="shared" si="196"/>
        <v>10000</v>
      </c>
      <c r="R79" s="49">
        <f>'Обобщенный расчет'!$H$65*R$9</f>
        <v>10000</v>
      </c>
      <c r="S79" s="49">
        <f>'Обобщенный расчет'!$H$65*S$9</f>
        <v>10000</v>
      </c>
      <c r="T79" s="49">
        <f>'Обобщенный расчет'!$H$65*T$9</f>
        <v>10000</v>
      </c>
      <c r="U79" s="49">
        <f>'Обобщенный расчет'!$H$65*U$9</f>
        <v>10000</v>
      </c>
      <c r="V79" s="49">
        <f>'Обобщенный расчет'!$H$65*V$9</f>
        <v>10000</v>
      </c>
      <c r="W79" s="49">
        <f>'Обобщенный расчет'!$H$65*W$9</f>
        <v>10000</v>
      </c>
      <c r="X79" s="49">
        <f>'Обобщенный расчет'!$H$65*X$9</f>
        <v>10000</v>
      </c>
      <c r="Y79" s="49">
        <f>'Обобщенный расчет'!$H$65*Y$9</f>
        <v>10000</v>
      </c>
      <c r="Z79" s="49">
        <f>'Обобщенный расчет'!$H$65*Z$9</f>
        <v>10000</v>
      </c>
      <c r="AA79" s="49">
        <f>'Обобщенный расчет'!$H$65*AA$9</f>
        <v>10000</v>
      </c>
      <c r="AB79" s="49">
        <f>'Обобщенный расчет'!$H$65*AB$9</f>
        <v>10000</v>
      </c>
      <c r="AC79" s="49">
        <f>'Обобщенный расчет'!$H$65*AC$9</f>
        <v>10000</v>
      </c>
      <c r="AD79" s="79">
        <f t="shared" si="197"/>
        <v>120000</v>
      </c>
      <c r="AE79" s="79">
        <f t="shared" si="198"/>
        <v>10000</v>
      </c>
      <c r="AF79" s="49">
        <f>'Обобщенный расчет'!$H$65*AF$9</f>
        <v>10000</v>
      </c>
      <c r="AG79" s="49">
        <f>'Обобщенный расчет'!$H$65*AG$9</f>
        <v>10000</v>
      </c>
      <c r="AH79" s="49">
        <f>'Обобщенный расчет'!$H$65*AH$9</f>
        <v>10000</v>
      </c>
      <c r="AI79" s="49">
        <f>'Обобщенный расчет'!$H$65*AI$9</f>
        <v>10000</v>
      </c>
      <c r="AJ79" s="49">
        <f>'Обобщенный расчет'!$H$65*AJ$9</f>
        <v>10000</v>
      </c>
      <c r="AK79" s="49">
        <f>'Обобщенный расчет'!$H$65*AK$9</f>
        <v>10000</v>
      </c>
      <c r="AL79" s="49">
        <f>'Обобщенный расчет'!$H$65*AL$9</f>
        <v>10000</v>
      </c>
      <c r="AM79" s="49">
        <f>'Обобщенный расчет'!$H$65*AM$9</f>
        <v>10000</v>
      </c>
      <c r="AN79" s="49">
        <f>'Обобщенный расчет'!$H$65*AN$9</f>
        <v>10000</v>
      </c>
      <c r="AO79" s="49">
        <f>'Обобщенный расчет'!$H$65*AO$9</f>
        <v>10000</v>
      </c>
      <c r="AP79" s="49">
        <f>'Обобщенный расчет'!$H$65*AP$9</f>
        <v>10000</v>
      </c>
      <c r="AQ79" s="49">
        <f>'Обобщенный расчет'!$H$65*AQ$9</f>
        <v>10000</v>
      </c>
      <c r="AR79" s="79">
        <f t="shared" si="199"/>
        <v>120000</v>
      </c>
      <c r="AS79" s="79">
        <f t="shared" si="200"/>
        <v>10000</v>
      </c>
      <c r="AT79" s="79">
        <f t="shared" si="201"/>
        <v>360000</v>
      </c>
      <c r="AU79" s="50"/>
    </row>
    <row r="80" spans="1:47" s="48" customFormat="1" ht="11.25">
      <c r="A80" s="87" t="str">
        <f>'Обобщенный расчет'!B67</f>
        <v>Роялти</v>
      </c>
      <c r="B80" s="33" t="s">
        <v>105</v>
      </c>
      <c r="C80" s="33"/>
      <c r="D80" s="46">
        <f>D33*'Обобщенный расчет'!$D$67</f>
        <v>59606.537621359239</v>
      </c>
      <c r="E80" s="46">
        <f>E33*'Обобщенный расчет'!$D$67</f>
        <v>79475.383495145637</v>
      </c>
      <c r="F80" s="46">
        <f>F33*'Обобщенный расчет'!$D$67</f>
        <v>67057.354824029127</v>
      </c>
      <c r="G80" s="46">
        <f>G33*'Обобщенный расчет'!$D$67</f>
        <v>72024.566292475734</v>
      </c>
      <c r="H80" s="46">
        <f>H33*'Обобщенный расчет'!$D$67</f>
        <v>57122.931887135936</v>
      </c>
      <c r="I80" s="46">
        <f>I33*'Обобщенный расчет'!$D$67</f>
        <v>59606.537621359239</v>
      </c>
      <c r="J80" s="46">
        <f>J33*'Обобщенный расчет'!$D$67</f>
        <v>67057.354824029127</v>
      </c>
      <c r="K80" s="46">
        <f>K33*'Обобщенный расчет'!$D$67</f>
        <v>67057.354824029127</v>
      </c>
      <c r="L80" s="46">
        <f>L33*'Обобщенный расчет'!$D$67</f>
        <v>57122.931887135936</v>
      </c>
      <c r="M80" s="46">
        <f>M33*'Обобщенный расчет'!$D$67</f>
        <v>64573.749089805831</v>
      </c>
      <c r="N80" s="46">
        <f>N33*'Обобщенный расчет'!$D$67</f>
        <v>59606.537621359239</v>
      </c>
      <c r="O80" s="46">
        <f>O33*'Обобщенный расчет'!$D$67</f>
        <v>57122.931887135936</v>
      </c>
      <c r="P80" s="185">
        <f t="shared" si="195"/>
        <v>767434.17187500023</v>
      </c>
      <c r="Q80" s="185">
        <f t="shared" si="196"/>
        <v>63952.847656250022</v>
      </c>
      <c r="R80" s="46">
        <f>R33*'Обобщенный расчет'!$D$67</f>
        <v>59606.537621359239</v>
      </c>
      <c r="S80" s="46">
        <f>S33*'Обобщенный расчет'!$D$67</f>
        <v>79475.383495145637</v>
      </c>
      <c r="T80" s="46">
        <f>T33*'Обобщенный расчет'!$D$67</f>
        <v>67057.354824029127</v>
      </c>
      <c r="U80" s="46">
        <f>U33*'Обобщенный расчет'!$D$67</f>
        <v>72024.566292475734</v>
      </c>
      <c r="V80" s="46">
        <f>V33*'Обобщенный расчет'!$D$67</f>
        <v>57122.931887135936</v>
      </c>
      <c r="W80" s="46">
        <f>W33*'Обобщенный расчет'!$D$67</f>
        <v>59606.537621359239</v>
      </c>
      <c r="X80" s="46">
        <f>X33*'Обобщенный расчет'!$D$67</f>
        <v>67057.354824029127</v>
      </c>
      <c r="Y80" s="46">
        <f>Y33*'Обобщенный расчет'!$D$67</f>
        <v>67057.354824029127</v>
      </c>
      <c r="Z80" s="46">
        <f>Z33*'Обобщенный расчет'!$D$67</f>
        <v>57122.931887135936</v>
      </c>
      <c r="AA80" s="46">
        <f>AA33*'Обобщенный расчет'!$D$67</f>
        <v>64573.749089805831</v>
      </c>
      <c r="AB80" s="46">
        <f>AB33*'Обобщенный расчет'!$D$67</f>
        <v>59606.537621359239</v>
      </c>
      <c r="AC80" s="46">
        <f>AC33*'Обобщенный расчет'!$D$67</f>
        <v>57122.931887135936</v>
      </c>
      <c r="AD80" s="185">
        <f t="shared" si="197"/>
        <v>767434.17187500023</v>
      </c>
      <c r="AE80" s="185">
        <f t="shared" si="198"/>
        <v>63952.847656250022</v>
      </c>
      <c r="AF80" s="46">
        <f>AF33*'Обобщенный расчет'!$D$67</f>
        <v>59606.537621359239</v>
      </c>
      <c r="AG80" s="46">
        <f>AG33*'Обобщенный расчет'!$D$67</f>
        <v>79475.383495145637</v>
      </c>
      <c r="AH80" s="46">
        <f>AH33*'Обобщенный расчет'!$D$67</f>
        <v>67057.354824029127</v>
      </c>
      <c r="AI80" s="46">
        <f>AI33*'Обобщенный расчет'!$D$67</f>
        <v>72024.566292475734</v>
      </c>
      <c r="AJ80" s="46">
        <f>AJ33*'Обобщенный расчет'!$D$67</f>
        <v>57122.931887135936</v>
      </c>
      <c r="AK80" s="46">
        <f>AK33*'Обобщенный расчет'!$D$67</f>
        <v>59606.537621359239</v>
      </c>
      <c r="AL80" s="46">
        <f>AL33*'Обобщенный расчет'!$D$67</f>
        <v>67057.354824029127</v>
      </c>
      <c r="AM80" s="46">
        <f>AM33*'Обобщенный расчет'!$D$67</f>
        <v>67057.354824029127</v>
      </c>
      <c r="AN80" s="46">
        <f>AN33*'Обобщенный расчет'!$D$67</f>
        <v>57122.931887135936</v>
      </c>
      <c r="AO80" s="46">
        <f>AO33*'Обобщенный расчет'!$D$67</f>
        <v>64573.749089805831</v>
      </c>
      <c r="AP80" s="46">
        <f>AP33*'Обобщенный расчет'!$D$67</f>
        <v>59606.537621359239</v>
      </c>
      <c r="AQ80" s="46">
        <f>AQ33*'Обобщенный расчет'!$D$67</f>
        <v>57122.931887135936</v>
      </c>
      <c r="AR80" s="185">
        <f t="shared" si="199"/>
        <v>767434.17187500023</v>
      </c>
      <c r="AS80" s="185">
        <f t="shared" si="200"/>
        <v>63952.847656250022</v>
      </c>
      <c r="AT80" s="185">
        <f t="shared" si="201"/>
        <v>2302302.5156250009</v>
      </c>
      <c r="AU80" s="47"/>
    </row>
    <row r="81" spans="1:47" s="51" customFormat="1" ht="11.25">
      <c r="A81" s="88" t="str">
        <f>'Обобщенный расчет'!B70</f>
        <v>Аренда</v>
      </c>
      <c r="B81" s="37" t="s">
        <v>105</v>
      </c>
      <c r="C81" s="37"/>
      <c r="D81" s="49">
        <f>'Обобщенный расчет'!$H70</f>
        <v>156000</v>
      </c>
      <c r="E81" s="49">
        <f>'Обобщенный расчет'!$H70</f>
        <v>156000</v>
      </c>
      <c r="F81" s="49">
        <f>'Обобщенный расчет'!$H70</f>
        <v>156000</v>
      </c>
      <c r="G81" s="49">
        <f>'Обобщенный расчет'!$H70</f>
        <v>156000</v>
      </c>
      <c r="H81" s="49">
        <f>'Обобщенный расчет'!$H70</f>
        <v>156000</v>
      </c>
      <c r="I81" s="49">
        <f>'Обобщенный расчет'!$H70</f>
        <v>156000</v>
      </c>
      <c r="J81" s="49">
        <f>'Обобщенный расчет'!$H70</f>
        <v>156000</v>
      </c>
      <c r="K81" s="49">
        <f>'Обобщенный расчет'!$H70</f>
        <v>156000</v>
      </c>
      <c r="L81" s="49">
        <f>'Обобщенный расчет'!$H70</f>
        <v>156000</v>
      </c>
      <c r="M81" s="49">
        <f>'Обобщенный расчет'!$H70</f>
        <v>156000</v>
      </c>
      <c r="N81" s="49">
        <f>'Обобщенный расчет'!$H70</f>
        <v>156000</v>
      </c>
      <c r="O81" s="49">
        <f>'Обобщенный расчет'!$H70</f>
        <v>156000</v>
      </c>
      <c r="P81" s="79">
        <f t="shared" ref="P81" si="202">SUM(D81:O81)</f>
        <v>1872000</v>
      </c>
      <c r="Q81" s="79">
        <f t="shared" ref="Q81" si="203">P81/12</f>
        <v>156000</v>
      </c>
      <c r="R81" s="49">
        <f>'Обобщенный расчет'!$H70</f>
        <v>156000</v>
      </c>
      <c r="S81" s="49">
        <f>'Обобщенный расчет'!$H70</f>
        <v>156000</v>
      </c>
      <c r="T81" s="49">
        <f>'Обобщенный расчет'!$H70</f>
        <v>156000</v>
      </c>
      <c r="U81" s="49">
        <f>'Обобщенный расчет'!$H70</f>
        <v>156000</v>
      </c>
      <c r="V81" s="49">
        <f>'Обобщенный расчет'!$H70</f>
        <v>156000</v>
      </c>
      <c r="W81" s="49">
        <f>'Обобщенный расчет'!$H70</f>
        <v>156000</v>
      </c>
      <c r="X81" s="49">
        <f>'Обобщенный расчет'!$H70</f>
        <v>156000</v>
      </c>
      <c r="Y81" s="49">
        <f>'Обобщенный расчет'!$H70</f>
        <v>156000</v>
      </c>
      <c r="Z81" s="49">
        <f>'Обобщенный расчет'!$H70</f>
        <v>156000</v>
      </c>
      <c r="AA81" s="49">
        <f>'Обобщенный расчет'!$H70</f>
        <v>156000</v>
      </c>
      <c r="AB81" s="49">
        <f>'Обобщенный расчет'!$H70</f>
        <v>156000</v>
      </c>
      <c r="AC81" s="49">
        <f>'Обобщенный расчет'!$H70</f>
        <v>156000</v>
      </c>
      <c r="AD81" s="79">
        <f t="shared" si="197"/>
        <v>1872000</v>
      </c>
      <c r="AE81" s="79">
        <f t="shared" si="198"/>
        <v>156000</v>
      </c>
      <c r="AF81" s="49">
        <f>'Обобщенный расчет'!$H70</f>
        <v>156000</v>
      </c>
      <c r="AG81" s="49">
        <f>'Обобщенный расчет'!$H70</f>
        <v>156000</v>
      </c>
      <c r="AH81" s="49">
        <f>'Обобщенный расчет'!$H70</f>
        <v>156000</v>
      </c>
      <c r="AI81" s="49">
        <f>'Обобщенный расчет'!$H70</f>
        <v>156000</v>
      </c>
      <c r="AJ81" s="49">
        <f>'Обобщенный расчет'!$H70</f>
        <v>156000</v>
      </c>
      <c r="AK81" s="49">
        <f>'Обобщенный расчет'!$H70</f>
        <v>156000</v>
      </c>
      <c r="AL81" s="49">
        <f>'Обобщенный расчет'!$H70</f>
        <v>156000</v>
      </c>
      <c r="AM81" s="49">
        <f>'Обобщенный расчет'!$H70</f>
        <v>156000</v>
      </c>
      <c r="AN81" s="49">
        <f>'Обобщенный расчет'!$H70</f>
        <v>156000</v>
      </c>
      <c r="AO81" s="49">
        <f>'Обобщенный расчет'!$H70</f>
        <v>156000</v>
      </c>
      <c r="AP81" s="49">
        <f>'Обобщенный расчет'!$H70</f>
        <v>156000</v>
      </c>
      <c r="AQ81" s="49">
        <f>'Обобщенный расчет'!$H70</f>
        <v>156000</v>
      </c>
      <c r="AR81" s="79">
        <f t="shared" si="199"/>
        <v>1872000</v>
      </c>
      <c r="AS81" s="79">
        <f t="shared" si="200"/>
        <v>156000</v>
      </c>
      <c r="AT81" s="79">
        <f t="shared" ref="AT81" si="204">P81+AD81+AR81</f>
        <v>5616000</v>
      </c>
      <c r="AU81" s="50"/>
    </row>
    <row r="82" spans="1:47" s="48" customFormat="1" ht="11.25">
      <c r="A82" s="87" t="str">
        <f>'Обобщенный расчет'!B71</f>
        <v>Коммунальные платежи</v>
      </c>
      <c r="B82" s="33" t="s">
        <v>105</v>
      </c>
      <c r="C82" s="33"/>
      <c r="D82" s="46">
        <f>'Обобщенный расчет'!$H71</f>
        <v>30000</v>
      </c>
      <c r="E82" s="46">
        <f>'Обобщенный расчет'!$H71</f>
        <v>30000</v>
      </c>
      <c r="F82" s="46">
        <f>'Обобщенный расчет'!$H71</f>
        <v>30000</v>
      </c>
      <c r="G82" s="46">
        <f>'Обобщенный расчет'!$H71</f>
        <v>30000</v>
      </c>
      <c r="H82" s="46">
        <f>'Обобщенный расчет'!$H71</f>
        <v>30000</v>
      </c>
      <c r="I82" s="46">
        <f>'Обобщенный расчет'!$H71</f>
        <v>30000</v>
      </c>
      <c r="J82" s="46">
        <f>'Обобщенный расчет'!$H71</f>
        <v>30000</v>
      </c>
      <c r="K82" s="46">
        <f>'Обобщенный расчет'!$H71</f>
        <v>30000</v>
      </c>
      <c r="L82" s="46">
        <f>'Обобщенный расчет'!$H71</f>
        <v>30000</v>
      </c>
      <c r="M82" s="46">
        <f>'Обобщенный расчет'!$H71</f>
        <v>30000</v>
      </c>
      <c r="N82" s="46">
        <f>'Обобщенный расчет'!$H71</f>
        <v>30000</v>
      </c>
      <c r="O82" s="46">
        <f>'Обобщенный расчет'!$H71</f>
        <v>30000</v>
      </c>
      <c r="P82" s="185">
        <f t="shared" si="195"/>
        <v>360000</v>
      </c>
      <c r="Q82" s="185">
        <f t="shared" si="196"/>
        <v>30000</v>
      </c>
      <c r="R82" s="46">
        <f>'Обобщенный расчет'!$H71</f>
        <v>30000</v>
      </c>
      <c r="S82" s="46">
        <f>'Обобщенный расчет'!$H71</f>
        <v>30000</v>
      </c>
      <c r="T82" s="46">
        <f>'Обобщенный расчет'!$H71</f>
        <v>30000</v>
      </c>
      <c r="U82" s="46">
        <f>'Обобщенный расчет'!$H71</f>
        <v>30000</v>
      </c>
      <c r="V82" s="46">
        <f>'Обобщенный расчет'!$H71</f>
        <v>30000</v>
      </c>
      <c r="W82" s="46">
        <f>'Обобщенный расчет'!$H71</f>
        <v>30000</v>
      </c>
      <c r="X82" s="46">
        <f>'Обобщенный расчет'!$H71</f>
        <v>30000</v>
      </c>
      <c r="Y82" s="46">
        <f>'Обобщенный расчет'!$H71</f>
        <v>30000</v>
      </c>
      <c r="Z82" s="46">
        <f>'Обобщенный расчет'!$H71</f>
        <v>30000</v>
      </c>
      <c r="AA82" s="46">
        <f>'Обобщенный расчет'!$H71</f>
        <v>30000</v>
      </c>
      <c r="AB82" s="46">
        <f>'Обобщенный расчет'!$H71</f>
        <v>30000</v>
      </c>
      <c r="AC82" s="46">
        <f>'Обобщенный расчет'!$H71</f>
        <v>30000</v>
      </c>
      <c r="AD82" s="185">
        <f t="shared" si="197"/>
        <v>360000</v>
      </c>
      <c r="AE82" s="185">
        <f t="shared" si="198"/>
        <v>30000</v>
      </c>
      <c r="AF82" s="46">
        <f>'Обобщенный расчет'!$H71</f>
        <v>30000</v>
      </c>
      <c r="AG82" s="46">
        <f>'Обобщенный расчет'!$H71</f>
        <v>30000</v>
      </c>
      <c r="AH82" s="46">
        <f>'Обобщенный расчет'!$H71</f>
        <v>30000</v>
      </c>
      <c r="AI82" s="46">
        <f>'Обобщенный расчет'!$H71</f>
        <v>30000</v>
      </c>
      <c r="AJ82" s="46">
        <f>'Обобщенный расчет'!$H71</f>
        <v>30000</v>
      </c>
      <c r="AK82" s="46">
        <f>'Обобщенный расчет'!$H71</f>
        <v>30000</v>
      </c>
      <c r="AL82" s="46">
        <f>'Обобщенный расчет'!$H71</f>
        <v>30000</v>
      </c>
      <c r="AM82" s="46">
        <f>'Обобщенный расчет'!$H71</f>
        <v>30000</v>
      </c>
      <c r="AN82" s="46">
        <f>'Обобщенный расчет'!$H71</f>
        <v>30000</v>
      </c>
      <c r="AO82" s="46">
        <f>'Обобщенный расчет'!$H71</f>
        <v>30000</v>
      </c>
      <c r="AP82" s="46">
        <f>'Обобщенный расчет'!$H71</f>
        <v>30000</v>
      </c>
      <c r="AQ82" s="46">
        <f>'Обобщенный расчет'!$H71</f>
        <v>30000</v>
      </c>
      <c r="AR82" s="185">
        <f t="shared" si="199"/>
        <v>360000</v>
      </c>
      <c r="AS82" s="185">
        <f t="shared" si="200"/>
        <v>30000</v>
      </c>
      <c r="AT82" s="185">
        <f t="shared" si="201"/>
        <v>1080000</v>
      </c>
      <c r="AU82" s="47"/>
    </row>
    <row r="83" spans="1:47" s="51" customFormat="1" ht="11.25">
      <c r="A83" s="88" t="str">
        <f>'Обобщенный расчет'!B72</f>
        <v>Хозяйственные нужды (моющие средства, МБП, т.п.)</v>
      </c>
      <c r="B83" s="37" t="s">
        <v>105</v>
      </c>
      <c r="C83" s="37"/>
      <c r="D83" s="49">
        <f>'Обобщенный расчет'!$H72</f>
        <v>20000</v>
      </c>
      <c r="E83" s="49">
        <f>'Обобщенный расчет'!$H72</f>
        <v>20000</v>
      </c>
      <c r="F83" s="49">
        <f>'Обобщенный расчет'!$H72</f>
        <v>20000</v>
      </c>
      <c r="G83" s="49">
        <f>'Обобщенный расчет'!$H72</f>
        <v>20000</v>
      </c>
      <c r="H83" s="49">
        <f>'Обобщенный расчет'!$H72</f>
        <v>20000</v>
      </c>
      <c r="I83" s="49">
        <f>'Обобщенный расчет'!$H72</f>
        <v>20000</v>
      </c>
      <c r="J83" s="49">
        <f>'Обобщенный расчет'!$H72</f>
        <v>20000</v>
      </c>
      <c r="K83" s="49">
        <f>'Обобщенный расчет'!$H72</f>
        <v>20000</v>
      </c>
      <c r="L83" s="49">
        <f>'Обобщенный расчет'!$H72</f>
        <v>20000</v>
      </c>
      <c r="M83" s="49">
        <f>'Обобщенный расчет'!$H72</f>
        <v>20000</v>
      </c>
      <c r="N83" s="49">
        <f>'Обобщенный расчет'!$H72</f>
        <v>20000</v>
      </c>
      <c r="O83" s="49">
        <f>'Обобщенный расчет'!$H72</f>
        <v>20000</v>
      </c>
      <c r="P83" s="79">
        <f t="shared" si="195"/>
        <v>240000</v>
      </c>
      <c r="Q83" s="79">
        <f t="shared" si="196"/>
        <v>20000</v>
      </c>
      <c r="R83" s="49">
        <f>'Обобщенный расчет'!$H72</f>
        <v>20000</v>
      </c>
      <c r="S83" s="49">
        <f>'Обобщенный расчет'!$H72</f>
        <v>20000</v>
      </c>
      <c r="T83" s="49">
        <f>'Обобщенный расчет'!$H72</f>
        <v>20000</v>
      </c>
      <c r="U83" s="49">
        <f>'Обобщенный расчет'!$H72</f>
        <v>20000</v>
      </c>
      <c r="V83" s="49">
        <f>'Обобщенный расчет'!$H72</f>
        <v>20000</v>
      </c>
      <c r="W83" s="49">
        <f>'Обобщенный расчет'!$H72</f>
        <v>20000</v>
      </c>
      <c r="X83" s="49">
        <f>'Обобщенный расчет'!$H72</f>
        <v>20000</v>
      </c>
      <c r="Y83" s="49">
        <f>'Обобщенный расчет'!$H72</f>
        <v>20000</v>
      </c>
      <c r="Z83" s="49">
        <f>'Обобщенный расчет'!$H72</f>
        <v>20000</v>
      </c>
      <c r="AA83" s="49">
        <f>'Обобщенный расчет'!$H72</f>
        <v>20000</v>
      </c>
      <c r="AB83" s="49">
        <f>'Обобщенный расчет'!$H72</f>
        <v>20000</v>
      </c>
      <c r="AC83" s="49">
        <f>'Обобщенный расчет'!$H72</f>
        <v>20000</v>
      </c>
      <c r="AD83" s="79">
        <f t="shared" si="197"/>
        <v>240000</v>
      </c>
      <c r="AE83" s="79">
        <f t="shared" si="198"/>
        <v>20000</v>
      </c>
      <c r="AF83" s="49">
        <f>'Обобщенный расчет'!$H72</f>
        <v>20000</v>
      </c>
      <c r="AG83" s="49">
        <f>'Обобщенный расчет'!$H72</f>
        <v>20000</v>
      </c>
      <c r="AH83" s="49">
        <f>'Обобщенный расчет'!$H72</f>
        <v>20000</v>
      </c>
      <c r="AI83" s="49">
        <f>'Обобщенный расчет'!$H72</f>
        <v>20000</v>
      </c>
      <c r="AJ83" s="49">
        <f>'Обобщенный расчет'!$H72</f>
        <v>20000</v>
      </c>
      <c r="AK83" s="49">
        <f>'Обобщенный расчет'!$H72</f>
        <v>20000</v>
      </c>
      <c r="AL83" s="49">
        <f>'Обобщенный расчет'!$H72</f>
        <v>20000</v>
      </c>
      <c r="AM83" s="49">
        <f>'Обобщенный расчет'!$H72</f>
        <v>20000</v>
      </c>
      <c r="AN83" s="49">
        <f>'Обобщенный расчет'!$H72</f>
        <v>20000</v>
      </c>
      <c r="AO83" s="49">
        <f>'Обобщенный расчет'!$H72</f>
        <v>20000</v>
      </c>
      <c r="AP83" s="49">
        <f>'Обобщенный расчет'!$H72</f>
        <v>20000</v>
      </c>
      <c r="AQ83" s="49">
        <f>'Обобщенный расчет'!$H72</f>
        <v>20000</v>
      </c>
      <c r="AR83" s="79">
        <f t="shared" si="199"/>
        <v>240000</v>
      </c>
      <c r="AS83" s="79">
        <f t="shared" si="200"/>
        <v>20000</v>
      </c>
      <c r="AT83" s="79">
        <f t="shared" si="201"/>
        <v>720000</v>
      </c>
      <c r="AU83" s="50"/>
    </row>
    <row r="84" spans="1:47" s="48" customFormat="1" ht="11.25">
      <c r="A84" s="87" t="str">
        <f>'Обобщенный расчет'!B73</f>
        <v>Порчи, списания</v>
      </c>
      <c r="B84" s="33" t="s">
        <v>105</v>
      </c>
      <c r="C84" s="33"/>
      <c r="D84" s="46">
        <f>'Обобщенный расчет'!$H73</f>
        <v>5000</v>
      </c>
      <c r="E84" s="46">
        <f>'Обобщенный расчет'!$H73</f>
        <v>5000</v>
      </c>
      <c r="F84" s="46">
        <f>'Обобщенный расчет'!$H73</f>
        <v>5000</v>
      </c>
      <c r="G84" s="46">
        <f>'Обобщенный расчет'!$H73</f>
        <v>5000</v>
      </c>
      <c r="H84" s="46">
        <f>'Обобщенный расчет'!$H73</f>
        <v>5000</v>
      </c>
      <c r="I84" s="46">
        <f>'Обобщенный расчет'!$H73</f>
        <v>5000</v>
      </c>
      <c r="J84" s="46">
        <f>'Обобщенный расчет'!$H73</f>
        <v>5000</v>
      </c>
      <c r="K84" s="46">
        <f>'Обобщенный расчет'!$H73</f>
        <v>5000</v>
      </c>
      <c r="L84" s="46">
        <f>'Обобщенный расчет'!$H73</f>
        <v>5000</v>
      </c>
      <c r="M84" s="46">
        <f>'Обобщенный расчет'!$H73</f>
        <v>5000</v>
      </c>
      <c r="N84" s="46">
        <f>'Обобщенный расчет'!$H73</f>
        <v>5000</v>
      </c>
      <c r="O84" s="46">
        <f>'Обобщенный расчет'!$H73</f>
        <v>5000</v>
      </c>
      <c r="P84" s="185">
        <f t="shared" si="195"/>
        <v>60000</v>
      </c>
      <c r="Q84" s="185">
        <f t="shared" si="196"/>
        <v>5000</v>
      </c>
      <c r="R84" s="46">
        <f>'Обобщенный расчет'!$H73</f>
        <v>5000</v>
      </c>
      <c r="S84" s="46">
        <f>'Обобщенный расчет'!$H73</f>
        <v>5000</v>
      </c>
      <c r="T84" s="46">
        <f>'Обобщенный расчет'!$H73</f>
        <v>5000</v>
      </c>
      <c r="U84" s="46">
        <f>'Обобщенный расчет'!$H73</f>
        <v>5000</v>
      </c>
      <c r="V84" s="46">
        <f>'Обобщенный расчет'!$H73</f>
        <v>5000</v>
      </c>
      <c r="W84" s="46">
        <f>'Обобщенный расчет'!$H73</f>
        <v>5000</v>
      </c>
      <c r="X84" s="46">
        <f>'Обобщенный расчет'!$H73</f>
        <v>5000</v>
      </c>
      <c r="Y84" s="46">
        <f>'Обобщенный расчет'!$H73</f>
        <v>5000</v>
      </c>
      <c r="Z84" s="46">
        <f>'Обобщенный расчет'!$H73</f>
        <v>5000</v>
      </c>
      <c r="AA84" s="46">
        <f>'Обобщенный расчет'!$H73</f>
        <v>5000</v>
      </c>
      <c r="AB84" s="46">
        <f>'Обобщенный расчет'!$H73</f>
        <v>5000</v>
      </c>
      <c r="AC84" s="46">
        <f>'Обобщенный расчет'!$H73</f>
        <v>5000</v>
      </c>
      <c r="AD84" s="185">
        <f t="shared" si="197"/>
        <v>60000</v>
      </c>
      <c r="AE84" s="185">
        <f t="shared" si="198"/>
        <v>5000</v>
      </c>
      <c r="AF84" s="46">
        <f>'Обобщенный расчет'!$H73</f>
        <v>5000</v>
      </c>
      <c r="AG84" s="46">
        <f>'Обобщенный расчет'!$H73</f>
        <v>5000</v>
      </c>
      <c r="AH84" s="46">
        <f>'Обобщенный расчет'!$H73</f>
        <v>5000</v>
      </c>
      <c r="AI84" s="46">
        <f>'Обобщенный расчет'!$H73</f>
        <v>5000</v>
      </c>
      <c r="AJ84" s="46">
        <f>'Обобщенный расчет'!$H73</f>
        <v>5000</v>
      </c>
      <c r="AK84" s="46">
        <f>'Обобщенный расчет'!$H73</f>
        <v>5000</v>
      </c>
      <c r="AL84" s="46">
        <f>'Обобщенный расчет'!$H73</f>
        <v>5000</v>
      </c>
      <c r="AM84" s="46">
        <f>'Обобщенный расчет'!$H73</f>
        <v>5000</v>
      </c>
      <c r="AN84" s="46">
        <f>'Обобщенный расчет'!$H73</f>
        <v>5000</v>
      </c>
      <c r="AO84" s="46">
        <f>'Обобщенный расчет'!$H73</f>
        <v>5000</v>
      </c>
      <c r="AP84" s="46">
        <f>'Обобщенный расчет'!$H73</f>
        <v>5000</v>
      </c>
      <c r="AQ84" s="46">
        <f>'Обобщенный расчет'!$H73</f>
        <v>5000</v>
      </c>
      <c r="AR84" s="185">
        <f t="shared" si="199"/>
        <v>60000</v>
      </c>
      <c r="AS84" s="185">
        <f t="shared" si="200"/>
        <v>5000</v>
      </c>
      <c r="AT84" s="185">
        <f t="shared" si="201"/>
        <v>180000</v>
      </c>
      <c r="AU84" s="47"/>
    </row>
    <row r="85" spans="1:47" s="51" customFormat="1" ht="11.25">
      <c r="A85" s="88" t="str">
        <f>'Обобщенный расчет'!B74</f>
        <v>Сервисное техобслуживание техники и оборудования</v>
      </c>
      <c r="B85" s="37" t="s">
        <v>105</v>
      </c>
      <c r="C85" s="37"/>
      <c r="D85" s="49">
        <f>'Обобщенный расчет'!$H74</f>
        <v>6500</v>
      </c>
      <c r="E85" s="49">
        <f>'Обобщенный расчет'!$H74</f>
        <v>6500</v>
      </c>
      <c r="F85" s="49">
        <f>'Обобщенный расчет'!$H74</f>
        <v>6500</v>
      </c>
      <c r="G85" s="49">
        <f>'Обобщенный расчет'!$H74</f>
        <v>6500</v>
      </c>
      <c r="H85" s="49">
        <f>'Обобщенный расчет'!$H74</f>
        <v>6500</v>
      </c>
      <c r="I85" s="49">
        <f>'Обобщенный расчет'!$H74</f>
        <v>6500</v>
      </c>
      <c r="J85" s="49">
        <f>'Обобщенный расчет'!$H74</f>
        <v>6500</v>
      </c>
      <c r="K85" s="49">
        <f>'Обобщенный расчет'!$H74</f>
        <v>6500</v>
      </c>
      <c r="L85" s="49">
        <f>'Обобщенный расчет'!$H74</f>
        <v>6500</v>
      </c>
      <c r="M85" s="49">
        <f>'Обобщенный расчет'!$H74</f>
        <v>6500</v>
      </c>
      <c r="N85" s="49">
        <f>'Обобщенный расчет'!$H74</f>
        <v>6500</v>
      </c>
      <c r="O85" s="49">
        <f>'Обобщенный расчет'!$H74</f>
        <v>6500</v>
      </c>
      <c r="P85" s="79">
        <f t="shared" si="195"/>
        <v>78000</v>
      </c>
      <c r="Q85" s="79">
        <f t="shared" si="196"/>
        <v>6500</v>
      </c>
      <c r="R85" s="49">
        <f>'Обобщенный расчет'!$H74</f>
        <v>6500</v>
      </c>
      <c r="S85" s="49">
        <f>'Обобщенный расчет'!$H74</f>
        <v>6500</v>
      </c>
      <c r="T85" s="49">
        <f>'Обобщенный расчет'!$H74</f>
        <v>6500</v>
      </c>
      <c r="U85" s="49">
        <f>'Обобщенный расчет'!$H74</f>
        <v>6500</v>
      </c>
      <c r="V85" s="49">
        <f>'Обобщенный расчет'!$H74</f>
        <v>6500</v>
      </c>
      <c r="W85" s="49">
        <f>'Обобщенный расчет'!$H74</f>
        <v>6500</v>
      </c>
      <c r="X85" s="49">
        <f>'Обобщенный расчет'!$H74</f>
        <v>6500</v>
      </c>
      <c r="Y85" s="49">
        <f>'Обобщенный расчет'!$H74</f>
        <v>6500</v>
      </c>
      <c r="Z85" s="49">
        <f>'Обобщенный расчет'!$H74</f>
        <v>6500</v>
      </c>
      <c r="AA85" s="49">
        <f>'Обобщенный расчет'!$H74</f>
        <v>6500</v>
      </c>
      <c r="AB85" s="49">
        <f>'Обобщенный расчет'!$H74</f>
        <v>6500</v>
      </c>
      <c r="AC85" s="49">
        <f>'Обобщенный расчет'!$H74</f>
        <v>6500</v>
      </c>
      <c r="AD85" s="79">
        <f t="shared" si="197"/>
        <v>78000</v>
      </c>
      <c r="AE85" s="79">
        <f t="shared" si="198"/>
        <v>6500</v>
      </c>
      <c r="AF85" s="49">
        <f>'Обобщенный расчет'!$H74</f>
        <v>6500</v>
      </c>
      <c r="AG85" s="49">
        <f>'Обобщенный расчет'!$H74</f>
        <v>6500</v>
      </c>
      <c r="AH85" s="49">
        <f>'Обобщенный расчет'!$H74</f>
        <v>6500</v>
      </c>
      <c r="AI85" s="49">
        <f>'Обобщенный расчет'!$H74</f>
        <v>6500</v>
      </c>
      <c r="AJ85" s="49">
        <f>'Обобщенный расчет'!$H74</f>
        <v>6500</v>
      </c>
      <c r="AK85" s="49">
        <f>'Обобщенный расчет'!$H74</f>
        <v>6500</v>
      </c>
      <c r="AL85" s="49">
        <f>'Обобщенный расчет'!$H74</f>
        <v>6500</v>
      </c>
      <c r="AM85" s="49">
        <f>'Обобщенный расчет'!$H74</f>
        <v>6500</v>
      </c>
      <c r="AN85" s="49">
        <f>'Обобщенный расчет'!$H74</f>
        <v>6500</v>
      </c>
      <c r="AO85" s="49">
        <f>'Обобщенный расчет'!$H74</f>
        <v>6500</v>
      </c>
      <c r="AP85" s="49">
        <f>'Обобщенный расчет'!$H74</f>
        <v>6500</v>
      </c>
      <c r="AQ85" s="49">
        <f>'Обобщенный расчет'!$H74</f>
        <v>6500</v>
      </c>
      <c r="AR85" s="79">
        <f t="shared" si="199"/>
        <v>78000</v>
      </c>
      <c r="AS85" s="79">
        <f t="shared" si="200"/>
        <v>6500</v>
      </c>
      <c r="AT85" s="79">
        <f t="shared" si="201"/>
        <v>234000</v>
      </c>
      <c r="AU85" s="50"/>
    </row>
    <row r="86" spans="1:47" s="48" customFormat="1" ht="11.25">
      <c r="A86" s="87" t="str">
        <f>'Обобщенный расчет'!B75</f>
        <v>Охрана объекта</v>
      </c>
      <c r="B86" s="33" t="s">
        <v>105</v>
      </c>
      <c r="C86" s="33"/>
      <c r="D86" s="46">
        <f>'Обобщенный расчет'!$H75</f>
        <v>2000</v>
      </c>
      <c r="E86" s="46">
        <f>'Обобщенный расчет'!$H75</f>
        <v>2000</v>
      </c>
      <c r="F86" s="46">
        <f>'Обобщенный расчет'!$H75</f>
        <v>2000</v>
      </c>
      <c r="G86" s="46">
        <f>'Обобщенный расчет'!$H75</f>
        <v>2000</v>
      </c>
      <c r="H86" s="46">
        <f>'Обобщенный расчет'!$H75</f>
        <v>2000</v>
      </c>
      <c r="I86" s="46">
        <f>'Обобщенный расчет'!$H75</f>
        <v>2000</v>
      </c>
      <c r="J86" s="46">
        <f>'Обобщенный расчет'!$H75</f>
        <v>2000</v>
      </c>
      <c r="K86" s="46">
        <f>'Обобщенный расчет'!$H75</f>
        <v>2000</v>
      </c>
      <c r="L86" s="46">
        <f>'Обобщенный расчет'!$H75</f>
        <v>2000</v>
      </c>
      <c r="M86" s="46">
        <f>'Обобщенный расчет'!$H75</f>
        <v>2000</v>
      </c>
      <c r="N86" s="46">
        <f>'Обобщенный расчет'!$H75</f>
        <v>2000</v>
      </c>
      <c r="O86" s="46">
        <f>'Обобщенный расчет'!$H75</f>
        <v>2000</v>
      </c>
      <c r="P86" s="185">
        <f t="shared" si="195"/>
        <v>24000</v>
      </c>
      <c r="Q86" s="185">
        <f t="shared" si="196"/>
        <v>2000</v>
      </c>
      <c r="R86" s="46">
        <f>'Обобщенный расчет'!$H75</f>
        <v>2000</v>
      </c>
      <c r="S86" s="46">
        <f>'Обобщенный расчет'!$H75</f>
        <v>2000</v>
      </c>
      <c r="T86" s="46">
        <f>'Обобщенный расчет'!$H75</f>
        <v>2000</v>
      </c>
      <c r="U86" s="46">
        <f>'Обобщенный расчет'!$H75</f>
        <v>2000</v>
      </c>
      <c r="V86" s="46">
        <f>'Обобщенный расчет'!$H75</f>
        <v>2000</v>
      </c>
      <c r="W86" s="46">
        <f>'Обобщенный расчет'!$H75</f>
        <v>2000</v>
      </c>
      <c r="X86" s="46">
        <f>'Обобщенный расчет'!$H75</f>
        <v>2000</v>
      </c>
      <c r="Y86" s="46">
        <f>'Обобщенный расчет'!$H75</f>
        <v>2000</v>
      </c>
      <c r="Z86" s="46">
        <f>'Обобщенный расчет'!$H75</f>
        <v>2000</v>
      </c>
      <c r="AA86" s="46">
        <f>'Обобщенный расчет'!$H75</f>
        <v>2000</v>
      </c>
      <c r="AB86" s="46">
        <f>'Обобщенный расчет'!$H75</f>
        <v>2000</v>
      </c>
      <c r="AC86" s="46">
        <f>'Обобщенный расчет'!$H75</f>
        <v>2000</v>
      </c>
      <c r="AD86" s="185">
        <f t="shared" si="197"/>
        <v>24000</v>
      </c>
      <c r="AE86" s="185">
        <f t="shared" si="198"/>
        <v>2000</v>
      </c>
      <c r="AF86" s="46">
        <f>'Обобщенный расчет'!$H75</f>
        <v>2000</v>
      </c>
      <c r="AG86" s="46">
        <f>'Обобщенный расчет'!$H75</f>
        <v>2000</v>
      </c>
      <c r="AH86" s="46">
        <f>'Обобщенный расчет'!$H75</f>
        <v>2000</v>
      </c>
      <c r="AI86" s="46">
        <f>'Обобщенный расчет'!$H75</f>
        <v>2000</v>
      </c>
      <c r="AJ86" s="46">
        <f>'Обобщенный расчет'!$H75</f>
        <v>2000</v>
      </c>
      <c r="AK86" s="46">
        <f>'Обобщенный расчет'!$H75</f>
        <v>2000</v>
      </c>
      <c r="AL86" s="46">
        <f>'Обобщенный расчет'!$H75</f>
        <v>2000</v>
      </c>
      <c r="AM86" s="46">
        <f>'Обобщенный расчет'!$H75</f>
        <v>2000</v>
      </c>
      <c r="AN86" s="46">
        <f>'Обобщенный расчет'!$H75</f>
        <v>2000</v>
      </c>
      <c r="AO86" s="46">
        <f>'Обобщенный расчет'!$H75</f>
        <v>2000</v>
      </c>
      <c r="AP86" s="46">
        <f>'Обобщенный расчет'!$H75</f>
        <v>2000</v>
      </c>
      <c r="AQ86" s="46">
        <f>'Обобщенный расчет'!$H75</f>
        <v>2000</v>
      </c>
      <c r="AR86" s="185">
        <f t="shared" si="199"/>
        <v>24000</v>
      </c>
      <c r="AS86" s="185">
        <f t="shared" si="200"/>
        <v>2000</v>
      </c>
      <c r="AT86" s="185">
        <f t="shared" si="201"/>
        <v>72000</v>
      </c>
      <c r="AU86" s="47"/>
    </row>
    <row r="87" spans="1:47" s="51" customFormat="1" ht="11.25">
      <c r="A87" s="88" t="str">
        <f>'Обобщенный расчет'!B76</f>
        <v>Упаковка</v>
      </c>
      <c r="B87" s="37" t="s">
        <v>105</v>
      </c>
      <c r="C87" s="37"/>
      <c r="D87" s="49">
        <f>'Обобщенный расчет'!$H76</f>
        <v>25000</v>
      </c>
      <c r="E87" s="49">
        <f>'Обобщенный расчет'!$H76</f>
        <v>25000</v>
      </c>
      <c r="F87" s="49">
        <f>'Обобщенный расчет'!$H76</f>
        <v>25000</v>
      </c>
      <c r="G87" s="49">
        <f>'Обобщенный расчет'!$H76</f>
        <v>25000</v>
      </c>
      <c r="H87" s="49">
        <f>'Обобщенный расчет'!$H76</f>
        <v>25000</v>
      </c>
      <c r="I87" s="49">
        <f>'Обобщенный расчет'!$H76</f>
        <v>25000</v>
      </c>
      <c r="J87" s="49">
        <f>'Обобщенный расчет'!$H76</f>
        <v>25000</v>
      </c>
      <c r="K87" s="49">
        <f>'Обобщенный расчет'!$H76</f>
        <v>25000</v>
      </c>
      <c r="L87" s="49">
        <f>'Обобщенный расчет'!$H76</f>
        <v>25000</v>
      </c>
      <c r="M87" s="49">
        <f>'Обобщенный расчет'!$H76</f>
        <v>25000</v>
      </c>
      <c r="N87" s="49">
        <f>'Обобщенный расчет'!$H76</f>
        <v>25000</v>
      </c>
      <c r="O87" s="49">
        <f>'Обобщенный расчет'!$H76</f>
        <v>25000</v>
      </c>
      <c r="P87" s="79">
        <f t="shared" si="195"/>
        <v>300000</v>
      </c>
      <c r="Q87" s="79">
        <f t="shared" si="196"/>
        <v>25000</v>
      </c>
      <c r="R87" s="49">
        <f>'Обобщенный расчет'!$H76</f>
        <v>25000</v>
      </c>
      <c r="S87" s="49">
        <f>'Обобщенный расчет'!$H76</f>
        <v>25000</v>
      </c>
      <c r="T87" s="49">
        <f>'Обобщенный расчет'!$H76</f>
        <v>25000</v>
      </c>
      <c r="U87" s="49">
        <f>'Обобщенный расчет'!$H76</f>
        <v>25000</v>
      </c>
      <c r="V87" s="49">
        <f>'Обобщенный расчет'!$H76</f>
        <v>25000</v>
      </c>
      <c r="W87" s="49">
        <f>'Обобщенный расчет'!$H76</f>
        <v>25000</v>
      </c>
      <c r="X87" s="49">
        <f>'Обобщенный расчет'!$H76</f>
        <v>25000</v>
      </c>
      <c r="Y87" s="49">
        <f>'Обобщенный расчет'!$H76</f>
        <v>25000</v>
      </c>
      <c r="Z87" s="49">
        <f>'Обобщенный расчет'!$H76</f>
        <v>25000</v>
      </c>
      <c r="AA87" s="49">
        <f>'Обобщенный расчет'!$H76</f>
        <v>25000</v>
      </c>
      <c r="AB87" s="49">
        <f>'Обобщенный расчет'!$H76</f>
        <v>25000</v>
      </c>
      <c r="AC87" s="49">
        <f>'Обобщенный расчет'!$H76</f>
        <v>25000</v>
      </c>
      <c r="AD87" s="79">
        <f t="shared" si="197"/>
        <v>300000</v>
      </c>
      <c r="AE87" s="79">
        <f t="shared" si="198"/>
        <v>25000</v>
      </c>
      <c r="AF87" s="49">
        <f>'Обобщенный расчет'!$H76</f>
        <v>25000</v>
      </c>
      <c r="AG87" s="49">
        <f>'Обобщенный расчет'!$H76</f>
        <v>25000</v>
      </c>
      <c r="AH87" s="49">
        <f>'Обобщенный расчет'!$H76</f>
        <v>25000</v>
      </c>
      <c r="AI87" s="49">
        <f>'Обобщенный расчет'!$H76</f>
        <v>25000</v>
      </c>
      <c r="AJ87" s="49">
        <f>'Обобщенный расчет'!$H76</f>
        <v>25000</v>
      </c>
      <c r="AK87" s="49">
        <f>'Обобщенный расчет'!$H76</f>
        <v>25000</v>
      </c>
      <c r="AL87" s="49">
        <f>'Обобщенный расчет'!$H76</f>
        <v>25000</v>
      </c>
      <c r="AM87" s="49">
        <f>'Обобщенный расчет'!$H76</f>
        <v>25000</v>
      </c>
      <c r="AN87" s="49">
        <f>'Обобщенный расчет'!$H76</f>
        <v>25000</v>
      </c>
      <c r="AO87" s="49">
        <f>'Обобщенный расчет'!$H76</f>
        <v>25000</v>
      </c>
      <c r="AP87" s="49">
        <f>'Обобщенный расчет'!$H76</f>
        <v>25000</v>
      </c>
      <c r="AQ87" s="49">
        <f>'Обобщенный расчет'!$H76</f>
        <v>25000</v>
      </c>
      <c r="AR87" s="79">
        <f t="shared" si="199"/>
        <v>300000</v>
      </c>
      <c r="AS87" s="79">
        <f t="shared" si="200"/>
        <v>25000</v>
      </c>
      <c r="AT87" s="79">
        <f t="shared" si="201"/>
        <v>900000</v>
      </c>
      <c r="AU87" s="50"/>
    </row>
    <row r="88" spans="1:47" s="48" customFormat="1" ht="11.25">
      <c r="A88" s="87" t="str">
        <f>'Обобщенный расчет'!B77</f>
        <v>Услуги связи</v>
      </c>
      <c r="B88" s="33" t="s">
        <v>105</v>
      </c>
      <c r="C88" s="33"/>
      <c r="D88" s="46">
        <f>'Обобщенный расчет'!$H77</f>
        <v>3500</v>
      </c>
      <c r="E88" s="46">
        <f>'Обобщенный расчет'!$H77</f>
        <v>3500</v>
      </c>
      <c r="F88" s="46">
        <f>'Обобщенный расчет'!$H77</f>
        <v>3500</v>
      </c>
      <c r="G88" s="46">
        <f>'Обобщенный расчет'!$H77</f>
        <v>3500</v>
      </c>
      <c r="H88" s="46">
        <f>'Обобщенный расчет'!$H77</f>
        <v>3500</v>
      </c>
      <c r="I88" s="46">
        <f>'Обобщенный расчет'!$H77</f>
        <v>3500</v>
      </c>
      <c r="J88" s="46">
        <f>'Обобщенный расчет'!$H77</f>
        <v>3500</v>
      </c>
      <c r="K88" s="46">
        <f>'Обобщенный расчет'!$H77</f>
        <v>3500</v>
      </c>
      <c r="L88" s="46">
        <f>'Обобщенный расчет'!$H77</f>
        <v>3500</v>
      </c>
      <c r="M88" s="46">
        <f>'Обобщенный расчет'!$H77</f>
        <v>3500</v>
      </c>
      <c r="N88" s="46">
        <f>'Обобщенный расчет'!$H77</f>
        <v>3500</v>
      </c>
      <c r="O88" s="46">
        <f>'Обобщенный расчет'!$H77</f>
        <v>3500</v>
      </c>
      <c r="P88" s="185">
        <f t="shared" si="195"/>
        <v>42000</v>
      </c>
      <c r="Q88" s="185">
        <f t="shared" si="196"/>
        <v>3500</v>
      </c>
      <c r="R88" s="46">
        <f>'Обобщенный расчет'!$H77</f>
        <v>3500</v>
      </c>
      <c r="S88" s="46">
        <f>'Обобщенный расчет'!$H77</f>
        <v>3500</v>
      </c>
      <c r="T88" s="46">
        <f>'Обобщенный расчет'!$H77</f>
        <v>3500</v>
      </c>
      <c r="U88" s="46">
        <f>'Обобщенный расчет'!$H77</f>
        <v>3500</v>
      </c>
      <c r="V88" s="46">
        <f>'Обобщенный расчет'!$H77</f>
        <v>3500</v>
      </c>
      <c r="W88" s="46">
        <f>'Обобщенный расчет'!$H77</f>
        <v>3500</v>
      </c>
      <c r="X88" s="46">
        <f>'Обобщенный расчет'!$H77</f>
        <v>3500</v>
      </c>
      <c r="Y88" s="46">
        <f>'Обобщенный расчет'!$H77</f>
        <v>3500</v>
      </c>
      <c r="Z88" s="46">
        <f>'Обобщенный расчет'!$H77</f>
        <v>3500</v>
      </c>
      <c r="AA88" s="46">
        <f>'Обобщенный расчет'!$H77</f>
        <v>3500</v>
      </c>
      <c r="AB88" s="46">
        <f>'Обобщенный расчет'!$H77</f>
        <v>3500</v>
      </c>
      <c r="AC88" s="46">
        <f>'Обобщенный расчет'!$H77</f>
        <v>3500</v>
      </c>
      <c r="AD88" s="185">
        <f t="shared" si="197"/>
        <v>42000</v>
      </c>
      <c r="AE88" s="185">
        <f t="shared" si="198"/>
        <v>3500</v>
      </c>
      <c r="AF88" s="46">
        <f>'Обобщенный расчет'!$H77</f>
        <v>3500</v>
      </c>
      <c r="AG88" s="46">
        <f>'Обобщенный расчет'!$H77</f>
        <v>3500</v>
      </c>
      <c r="AH88" s="46">
        <f>'Обобщенный расчет'!$H77</f>
        <v>3500</v>
      </c>
      <c r="AI88" s="46">
        <f>'Обобщенный расчет'!$H77</f>
        <v>3500</v>
      </c>
      <c r="AJ88" s="46">
        <f>'Обобщенный расчет'!$H77</f>
        <v>3500</v>
      </c>
      <c r="AK88" s="46">
        <f>'Обобщенный расчет'!$H77</f>
        <v>3500</v>
      </c>
      <c r="AL88" s="46">
        <f>'Обобщенный расчет'!$H77</f>
        <v>3500</v>
      </c>
      <c r="AM88" s="46">
        <f>'Обобщенный расчет'!$H77</f>
        <v>3500</v>
      </c>
      <c r="AN88" s="46">
        <f>'Обобщенный расчет'!$H77</f>
        <v>3500</v>
      </c>
      <c r="AO88" s="46">
        <f>'Обобщенный расчет'!$H77</f>
        <v>3500</v>
      </c>
      <c r="AP88" s="46">
        <f>'Обобщенный расчет'!$H77</f>
        <v>3500</v>
      </c>
      <c r="AQ88" s="46">
        <f>'Обобщенный расчет'!$H77</f>
        <v>3500</v>
      </c>
      <c r="AR88" s="185">
        <f t="shared" si="199"/>
        <v>42000</v>
      </c>
      <c r="AS88" s="185">
        <f t="shared" si="200"/>
        <v>3500</v>
      </c>
      <c r="AT88" s="185">
        <f t="shared" si="201"/>
        <v>126000</v>
      </c>
      <c r="AU88" s="47"/>
    </row>
    <row r="89" spans="1:47" s="51" customFormat="1" ht="11.25">
      <c r="A89" s="88" t="s">
        <v>179</v>
      </c>
      <c r="B89" s="37" t="s">
        <v>105</v>
      </c>
      <c r="C89" s="37"/>
      <c r="D89" s="49">
        <f>'Обобщенный расчет'!$H78*12</f>
        <v>6000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79">
        <f t="shared" si="195"/>
        <v>6000</v>
      </c>
      <c r="Q89" s="79">
        <f t="shared" si="196"/>
        <v>500</v>
      </c>
      <c r="R89" s="49">
        <f>'Обобщенный расчет'!$H78*12</f>
        <v>6000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79">
        <f t="shared" si="197"/>
        <v>6000</v>
      </c>
      <c r="AE89" s="79">
        <f t="shared" si="198"/>
        <v>500</v>
      </c>
      <c r="AF89" s="49">
        <f>'Обобщенный расчет'!$H78*12</f>
        <v>6000</v>
      </c>
      <c r="AG89" s="49">
        <v>0</v>
      </c>
      <c r="AH89" s="49">
        <v>0</v>
      </c>
      <c r="AI89" s="49">
        <v>0</v>
      </c>
      <c r="AJ89" s="49">
        <v>0</v>
      </c>
      <c r="AK89" s="49">
        <v>0</v>
      </c>
      <c r="AL89" s="49">
        <v>0</v>
      </c>
      <c r="AM89" s="49">
        <v>0</v>
      </c>
      <c r="AN89" s="49">
        <v>0</v>
      </c>
      <c r="AO89" s="49">
        <v>0</v>
      </c>
      <c r="AP89" s="49">
        <v>0</v>
      </c>
      <c r="AQ89" s="49">
        <v>0</v>
      </c>
      <c r="AR89" s="79">
        <f t="shared" si="199"/>
        <v>6000</v>
      </c>
      <c r="AS89" s="79">
        <f t="shared" si="200"/>
        <v>500</v>
      </c>
      <c r="AT89" s="79">
        <f t="shared" si="201"/>
        <v>18000</v>
      </c>
      <c r="AU89" s="50"/>
    </row>
    <row r="90" spans="1:47" s="48" customFormat="1" ht="11.25">
      <c r="A90" s="87" t="str">
        <f>'Обобщенный расчет'!B79</f>
        <v>Транспортные расходы, доставка</v>
      </c>
      <c r="B90" s="33" t="s">
        <v>105</v>
      </c>
      <c r="C90" s="33"/>
      <c r="D90" s="46">
        <f>'Обобщенный расчет'!$H79</f>
        <v>10000</v>
      </c>
      <c r="E90" s="46">
        <f>'Обобщенный расчет'!$H79</f>
        <v>10000</v>
      </c>
      <c r="F90" s="46">
        <f>'Обобщенный расчет'!$H79</f>
        <v>10000</v>
      </c>
      <c r="G90" s="46">
        <f>'Обобщенный расчет'!$H79</f>
        <v>10000</v>
      </c>
      <c r="H90" s="46">
        <f>'Обобщенный расчет'!$H79</f>
        <v>10000</v>
      </c>
      <c r="I90" s="46">
        <f>'Обобщенный расчет'!$H79</f>
        <v>10000</v>
      </c>
      <c r="J90" s="46">
        <f>'Обобщенный расчет'!$H79</f>
        <v>10000</v>
      </c>
      <c r="K90" s="46">
        <f>'Обобщенный расчет'!$H79</f>
        <v>10000</v>
      </c>
      <c r="L90" s="46">
        <f>'Обобщенный расчет'!$H79</f>
        <v>10000</v>
      </c>
      <c r="M90" s="46">
        <f>'Обобщенный расчет'!$H79</f>
        <v>10000</v>
      </c>
      <c r="N90" s="46">
        <f>'Обобщенный расчет'!$H79</f>
        <v>10000</v>
      </c>
      <c r="O90" s="46">
        <f>'Обобщенный расчет'!$H79</f>
        <v>10000</v>
      </c>
      <c r="P90" s="185">
        <f t="shared" si="195"/>
        <v>120000</v>
      </c>
      <c r="Q90" s="185">
        <f t="shared" si="196"/>
        <v>10000</v>
      </c>
      <c r="R90" s="46">
        <f>'Обобщенный расчет'!$H79</f>
        <v>10000</v>
      </c>
      <c r="S90" s="46">
        <f>'Обобщенный расчет'!$H79</f>
        <v>10000</v>
      </c>
      <c r="T90" s="46">
        <f>'Обобщенный расчет'!$H79</f>
        <v>10000</v>
      </c>
      <c r="U90" s="46">
        <f>'Обобщенный расчет'!$H79</f>
        <v>10000</v>
      </c>
      <c r="V90" s="46">
        <f>'Обобщенный расчет'!$H79</f>
        <v>10000</v>
      </c>
      <c r="W90" s="46">
        <f>'Обобщенный расчет'!$H79</f>
        <v>10000</v>
      </c>
      <c r="X90" s="46">
        <f>'Обобщенный расчет'!$H79</f>
        <v>10000</v>
      </c>
      <c r="Y90" s="46">
        <f>'Обобщенный расчет'!$H79</f>
        <v>10000</v>
      </c>
      <c r="Z90" s="46">
        <f>'Обобщенный расчет'!$H79</f>
        <v>10000</v>
      </c>
      <c r="AA90" s="46">
        <f>'Обобщенный расчет'!$H79</f>
        <v>10000</v>
      </c>
      <c r="AB90" s="46">
        <f>'Обобщенный расчет'!$H79</f>
        <v>10000</v>
      </c>
      <c r="AC90" s="46">
        <f>'Обобщенный расчет'!$H79</f>
        <v>10000</v>
      </c>
      <c r="AD90" s="185">
        <f t="shared" si="197"/>
        <v>120000</v>
      </c>
      <c r="AE90" s="185">
        <f t="shared" si="198"/>
        <v>10000</v>
      </c>
      <c r="AF90" s="46">
        <f>'Обобщенный расчет'!$H79</f>
        <v>10000</v>
      </c>
      <c r="AG90" s="46">
        <f>'Обобщенный расчет'!$H79</f>
        <v>10000</v>
      </c>
      <c r="AH90" s="46">
        <f>'Обобщенный расчет'!$H79</f>
        <v>10000</v>
      </c>
      <c r="AI90" s="46">
        <f>'Обобщенный расчет'!$H79</f>
        <v>10000</v>
      </c>
      <c r="AJ90" s="46">
        <f>'Обобщенный расчет'!$H79</f>
        <v>10000</v>
      </c>
      <c r="AK90" s="46">
        <f>'Обобщенный расчет'!$H79</f>
        <v>10000</v>
      </c>
      <c r="AL90" s="46">
        <f>'Обобщенный расчет'!$H79</f>
        <v>10000</v>
      </c>
      <c r="AM90" s="46">
        <f>'Обобщенный расчет'!$H79</f>
        <v>10000</v>
      </c>
      <c r="AN90" s="46">
        <f>'Обобщенный расчет'!$H79</f>
        <v>10000</v>
      </c>
      <c r="AO90" s="46">
        <f>'Обобщенный расчет'!$H79</f>
        <v>10000</v>
      </c>
      <c r="AP90" s="46">
        <f>'Обобщенный расчет'!$H79</f>
        <v>10000</v>
      </c>
      <c r="AQ90" s="46">
        <f>'Обобщенный расчет'!$H79</f>
        <v>10000</v>
      </c>
      <c r="AR90" s="185">
        <f t="shared" si="199"/>
        <v>120000</v>
      </c>
      <c r="AS90" s="185">
        <f t="shared" si="200"/>
        <v>10000</v>
      </c>
      <c r="AT90" s="185">
        <f t="shared" si="201"/>
        <v>360000</v>
      </c>
      <c r="AU90" s="47"/>
    </row>
    <row r="91" spans="1:47" s="51" customFormat="1" ht="11.25">
      <c r="A91" s="88" t="s">
        <v>183</v>
      </c>
      <c r="B91" s="37" t="s">
        <v>105</v>
      </c>
      <c r="C91" s="37"/>
      <c r="D91" s="49">
        <f>'Обобщенный расчет'!$H80*12</f>
        <v>10700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79">
        <f t="shared" si="195"/>
        <v>10700</v>
      </c>
      <c r="Q91" s="79">
        <f t="shared" si="196"/>
        <v>891.66666666666663</v>
      </c>
      <c r="R91" s="49">
        <f>'Обобщенный расчет'!$H80*12</f>
        <v>10700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79">
        <f t="shared" si="197"/>
        <v>10700</v>
      </c>
      <c r="AE91" s="79">
        <f t="shared" si="198"/>
        <v>891.66666666666663</v>
      </c>
      <c r="AF91" s="49">
        <f>'Обобщенный расчет'!$H80*12</f>
        <v>10700</v>
      </c>
      <c r="AG91" s="49">
        <v>0</v>
      </c>
      <c r="AH91" s="49">
        <v>0</v>
      </c>
      <c r="AI91" s="49">
        <v>0</v>
      </c>
      <c r="AJ91" s="49">
        <v>0</v>
      </c>
      <c r="AK91" s="49">
        <v>0</v>
      </c>
      <c r="AL91" s="49">
        <v>0</v>
      </c>
      <c r="AM91" s="49">
        <v>0</v>
      </c>
      <c r="AN91" s="49">
        <v>0</v>
      </c>
      <c r="AO91" s="49">
        <v>0</v>
      </c>
      <c r="AP91" s="49">
        <v>0</v>
      </c>
      <c r="AQ91" s="49">
        <v>0</v>
      </c>
      <c r="AR91" s="79">
        <f t="shared" si="199"/>
        <v>10700</v>
      </c>
      <c r="AS91" s="79">
        <f t="shared" si="200"/>
        <v>891.66666666666663</v>
      </c>
      <c r="AT91" s="79">
        <f t="shared" si="201"/>
        <v>32100</v>
      </c>
      <c r="AU91" s="50"/>
    </row>
    <row r="92" spans="1:47" s="48" customFormat="1" ht="11.25">
      <c r="A92" s="87" t="s">
        <v>184</v>
      </c>
      <c r="B92" s="33" t="s">
        <v>105</v>
      </c>
      <c r="C92" s="33"/>
      <c r="D92" s="46">
        <f>'Обобщенный расчет'!$H81*6</f>
        <v>3200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f>'Обобщенный расчет'!$H81*6</f>
        <v>3200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185">
        <f t="shared" si="195"/>
        <v>6400</v>
      </c>
      <c r="Q92" s="185">
        <f t="shared" si="196"/>
        <v>533.33333333333337</v>
      </c>
      <c r="R92" s="46">
        <f>'Обобщенный расчет'!$H81*6</f>
        <v>3200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f>'Обобщенный расчет'!$H81*6</f>
        <v>3200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185">
        <f t="shared" si="197"/>
        <v>6400</v>
      </c>
      <c r="AE92" s="185">
        <f t="shared" si="198"/>
        <v>533.33333333333337</v>
      </c>
      <c r="AF92" s="46">
        <f>'Обобщенный расчет'!$H81*6</f>
        <v>3200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f>'Обобщенный расчет'!$H81*6</f>
        <v>3200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185">
        <f t="shared" si="199"/>
        <v>6400</v>
      </c>
      <c r="AS92" s="185">
        <f t="shared" si="200"/>
        <v>533.33333333333337</v>
      </c>
      <c r="AT92" s="185">
        <f t="shared" si="201"/>
        <v>19200</v>
      </c>
      <c r="AU92" s="47"/>
    </row>
    <row r="93" spans="1:47" s="51" customFormat="1" ht="11.25">
      <c r="A93" s="88" t="str">
        <f>'Обобщенный расчет'!B82</f>
        <v>Налоги, патенты, лицензии</v>
      </c>
      <c r="B93" s="37" t="s">
        <v>105</v>
      </c>
      <c r="C93" s="37"/>
      <c r="D93" s="49">
        <f>'Обобщенный расчет'!$H82</f>
        <v>30000</v>
      </c>
      <c r="E93" s="49">
        <f>'Обобщенный расчет'!$H82</f>
        <v>30000</v>
      </c>
      <c r="F93" s="49">
        <f>'Обобщенный расчет'!$H82</f>
        <v>30000</v>
      </c>
      <c r="G93" s="49">
        <f>'Обобщенный расчет'!$H82</f>
        <v>30000</v>
      </c>
      <c r="H93" s="49">
        <f>'Обобщенный расчет'!$H82</f>
        <v>30000</v>
      </c>
      <c r="I93" s="49">
        <f>'Обобщенный расчет'!$H82</f>
        <v>30000</v>
      </c>
      <c r="J93" s="49">
        <f>'Обобщенный расчет'!$H82</f>
        <v>30000</v>
      </c>
      <c r="K93" s="49">
        <f>'Обобщенный расчет'!$H82</f>
        <v>30000</v>
      </c>
      <c r="L93" s="49">
        <f>'Обобщенный расчет'!$H82</f>
        <v>30000</v>
      </c>
      <c r="M93" s="49">
        <f>'Обобщенный расчет'!$H82</f>
        <v>30000</v>
      </c>
      <c r="N93" s="49">
        <f>'Обобщенный расчет'!$H82</f>
        <v>30000</v>
      </c>
      <c r="O93" s="49">
        <f>'Обобщенный расчет'!$H82</f>
        <v>30000</v>
      </c>
      <c r="P93" s="79">
        <f t="shared" si="195"/>
        <v>360000</v>
      </c>
      <c r="Q93" s="79">
        <f t="shared" si="196"/>
        <v>30000</v>
      </c>
      <c r="R93" s="49">
        <f>'Обобщенный расчет'!$H82</f>
        <v>30000</v>
      </c>
      <c r="S93" s="49">
        <f>'Обобщенный расчет'!$H82</f>
        <v>30000</v>
      </c>
      <c r="T93" s="49">
        <f>'Обобщенный расчет'!$H82</f>
        <v>30000</v>
      </c>
      <c r="U93" s="49">
        <f>'Обобщенный расчет'!$H82</f>
        <v>30000</v>
      </c>
      <c r="V93" s="49">
        <f>'Обобщенный расчет'!$H82</f>
        <v>30000</v>
      </c>
      <c r="W93" s="49">
        <f>'Обобщенный расчет'!$H82</f>
        <v>30000</v>
      </c>
      <c r="X93" s="49">
        <f>'Обобщенный расчет'!$H82</f>
        <v>30000</v>
      </c>
      <c r="Y93" s="49">
        <f>'Обобщенный расчет'!$H82</f>
        <v>30000</v>
      </c>
      <c r="Z93" s="49">
        <f>'Обобщенный расчет'!$H82</f>
        <v>30000</v>
      </c>
      <c r="AA93" s="49">
        <f>'Обобщенный расчет'!$H82</f>
        <v>30000</v>
      </c>
      <c r="AB93" s="49">
        <f>'Обобщенный расчет'!$H82</f>
        <v>30000</v>
      </c>
      <c r="AC93" s="49">
        <f>'Обобщенный расчет'!$H82</f>
        <v>30000</v>
      </c>
      <c r="AD93" s="79">
        <f t="shared" si="197"/>
        <v>360000</v>
      </c>
      <c r="AE93" s="79">
        <f t="shared" si="198"/>
        <v>30000</v>
      </c>
      <c r="AF93" s="49">
        <f>'Обобщенный расчет'!$H82</f>
        <v>30000</v>
      </c>
      <c r="AG93" s="49">
        <f>'Обобщенный расчет'!$H82</f>
        <v>30000</v>
      </c>
      <c r="AH93" s="49">
        <f>'Обобщенный расчет'!$H82</f>
        <v>30000</v>
      </c>
      <c r="AI93" s="49">
        <f>'Обобщенный расчет'!$H82</f>
        <v>30000</v>
      </c>
      <c r="AJ93" s="49">
        <f>'Обобщенный расчет'!$H82</f>
        <v>30000</v>
      </c>
      <c r="AK93" s="49">
        <f>'Обобщенный расчет'!$H82</f>
        <v>30000</v>
      </c>
      <c r="AL93" s="49">
        <f>'Обобщенный расчет'!$H82</f>
        <v>30000</v>
      </c>
      <c r="AM93" s="49">
        <f>'Обобщенный расчет'!$H82</f>
        <v>30000</v>
      </c>
      <c r="AN93" s="49">
        <f>'Обобщенный расчет'!$H82</f>
        <v>30000</v>
      </c>
      <c r="AO93" s="49">
        <f>'Обобщенный расчет'!$H82</f>
        <v>30000</v>
      </c>
      <c r="AP93" s="49">
        <f>'Обобщенный расчет'!$H82</f>
        <v>30000</v>
      </c>
      <c r="AQ93" s="49">
        <f>'Обобщенный расчет'!$H82</f>
        <v>30000</v>
      </c>
      <c r="AR93" s="79">
        <f t="shared" si="199"/>
        <v>360000</v>
      </c>
      <c r="AS93" s="79">
        <f t="shared" si="200"/>
        <v>30000</v>
      </c>
      <c r="AT93" s="79">
        <f t="shared" si="201"/>
        <v>1080000</v>
      </c>
      <c r="AU93" s="50"/>
    </row>
    <row r="94" spans="1:47" s="48" customFormat="1" ht="11.25">
      <c r="A94" s="87" t="str">
        <f>'Обобщенный расчет'!B83</f>
        <v>Местная реклама (буклеты, печатная продукция и т.д.)</v>
      </c>
      <c r="B94" s="33" t="s">
        <v>105</v>
      </c>
      <c r="C94" s="33"/>
      <c r="D94" s="46">
        <f>'Обобщенный расчет'!$H83</f>
        <v>70000</v>
      </c>
      <c r="E94" s="46">
        <f>'Обобщенный расчет'!$H83</f>
        <v>70000</v>
      </c>
      <c r="F94" s="46">
        <f>'Обобщенный расчет'!$H83</f>
        <v>70000</v>
      </c>
      <c r="G94" s="46">
        <f>'Обобщенный расчет'!$H83</f>
        <v>70000</v>
      </c>
      <c r="H94" s="46">
        <f>'Обобщенный расчет'!$H83</f>
        <v>70000</v>
      </c>
      <c r="I94" s="46">
        <f>'Обобщенный расчет'!$H83</f>
        <v>70000</v>
      </c>
      <c r="J94" s="46">
        <f>'Обобщенный расчет'!$H83</f>
        <v>70000</v>
      </c>
      <c r="K94" s="46">
        <f>'Обобщенный расчет'!$H83</f>
        <v>70000</v>
      </c>
      <c r="L94" s="46">
        <f>'Обобщенный расчет'!$H83</f>
        <v>70000</v>
      </c>
      <c r="M94" s="46">
        <f>'Обобщенный расчет'!$H83</f>
        <v>70000</v>
      </c>
      <c r="N94" s="46">
        <f>'Обобщенный расчет'!$H83</f>
        <v>70000</v>
      </c>
      <c r="O94" s="46">
        <f>'Обобщенный расчет'!$H83</f>
        <v>70000</v>
      </c>
      <c r="P94" s="185">
        <f t="shared" si="195"/>
        <v>840000</v>
      </c>
      <c r="Q94" s="185">
        <f t="shared" si="196"/>
        <v>70000</v>
      </c>
      <c r="R94" s="46">
        <f>'Обобщенный расчет'!$H83</f>
        <v>70000</v>
      </c>
      <c r="S94" s="46">
        <f>'Обобщенный расчет'!$H83</f>
        <v>70000</v>
      </c>
      <c r="T94" s="46">
        <f>'Обобщенный расчет'!$H83</f>
        <v>70000</v>
      </c>
      <c r="U94" s="46">
        <f>'Обобщенный расчет'!$H83</f>
        <v>70000</v>
      </c>
      <c r="V94" s="46">
        <f>'Обобщенный расчет'!$H83</f>
        <v>70000</v>
      </c>
      <c r="W94" s="46">
        <f>'Обобщенный расчет'!$H83</f>
        <v>70000</v>
      </c>
      <c r="X94" s="46">
        <f>'Обобщенный расчет'!$H83</f>
        <v>70000</v>
      </c>
      <c r="Y94" s="46">
        <f>'Обобщенный расчет'!$H83</f>
        <v>70000</v>
      </c>
      <c r="Z94" s="46">
        <f>'Обобщенный расчет'!$H83</f>
        <v>70000</v>
      </c>
      <c r="AA94" s="46">
        <f>'Обобщенный расчет'!$H83</f>
        <v>70000</v>
      </c>
      <c r="AB94" s="46">
        <f>'Обобщенный расчет'!$H83</f>
        <v>70000</v>
      </c>
      <c r="AC94" s="46">
        <f>'Обобщенный расчет'!$H83</f>
        <v>70000</v>
      </c>
      <c r="AD94" s="185">
        <f t="shared" si="197"/>
        <v>840000</v>
      </c>
      <c r="AE94" s="185">
        <f t="shared" si="198"/>
        <v>70000</v>
      </c>
      <c r="AF94" s="46">
        <f>'Обобщенный расчет'!$H83</f>
        <v>70000</v>
      </c>
      <c r="AG94" s="46">
        <f>'Обобщенный расчет'!$H83</f>
        <v>70000</v>
      </c>
      <c r="AH94" s="46">
        <f>'Обобщенный расчет'!$H83</f>
        <v>70000</v>
      </c>
      <c r="AI94" s="46">
        <f>'Обобщенный расчет'!$H83</f>
        <v>70000</v>
      </c>
      <c r="AJ94" s="46">
        <f>'Обобщенный расчет'!$H83</f>
        <v>70000</v>
      </c>
      <c r="AK94" s="46">
        <f>'Обобщенный расчет'!$H83</f>
        <v>70000</v>
      </c>
      <c r="AL94" s="46">
        <f>'Обобщенный расчет'!$H83</f>
        <v>70000</v>
      </c>
      <c r="AM94" s="46">
        <f>'Обобщенный расчет'!$H83</f>
        <v>70000</v>
      </c>
      <c r="AN94" s="46">
        <f>'Обобщенный расчет'!$H83</f>
        <v>70000</v>
      </c>
      <c r="AO94" s="46">
        <f>'Обобщенный расчет'!$H83</f>
        <v>70000</v>
      </c>
      <c r="AP94" s="46">
        <f>'Обобщенный расчет'!$H83</f>
        <v>70000</v>
      </c>
      <c r="AQ94" s="46">
        <f>'Обобщенный расчет'!$H83</f>
        <v>70000</v>
      </c>
      <c r="AR94" s="185">
        <f t="shared" si="199"/>
        <v>840000</v>
      </c>
      <c r="AS94" s="185">
        <f t="shared" si="200"/>
        <v>70000</v>
      </c>
      <c r="AT94" s="185">
        <f t="shared" si="201"/>
        <v>2520000</v>
      </c>
      <c r="AU94" s="47"/>
    </row>
    <row r="95" spans="1:47" s="51" customFormat="1" ht="11.25">
      <c r="A95" s="283" t="str">
        <f>'Обобщенный расчет'!B84</f>
        <v>Прочее</v>
      </c>
      <c r="B95" s="266" t="s">
        <v>105</v>
      </c>
      <c r="C95" s="266"/>
      <c r="D95" s="267">
        <f>'Обобщенный расчет'!$H84</f>
        <v>30000</v>
      </c>
      <c r="E95" s="267">
        <f>'Обобщенный расчет'!$H84</f>
        <v>30000</v>
      </c>
      <c r="F95" s="267">
        <f>'Обобщенный расчет'!$H84</f>
        <v>30000</v>
      </c>
      <c r="G95" s="267">
        <f>'Обобщенный расчет'!$H84</f>
        <v>30000</v>
      </c>
      <c r="H95" s="267">
        <f>'Обобщенный расчет'!$H84</f>
        <v>30000</v>
      </c>
      <c r="I95" s="267">
        <f>'Обобщенный расчет'!$H84</f>
        <v>30000</v>
      </c>
      <c r="J95" s="267">
        <f>'Обобщенный расчет'!$H84</f>
        <v>30000</v>
      </c>
      <c r="K95" s="267">
        <f>'Обобщенный расчет'!$H84</f>
        <v>30000</v>
      </c>
      <c r="L95" s="267">
        <f>'Обобщенный расчет'!$H84</f>
        <v>30000</v>
      </c>
      <c r="M95" s="267">
        <f>'Обобщенный расчет'!$H84</f>
        <v>30000</v>
      </c>
      <c r="N95" s="267">
        <f>'Обобщенный расчет'!$H84</f>
        <v>30000</v>
      </c>
      <c r="O95" s="267">
        <f>'Обобщенный расчет'!$H84</f>
        <v>30000</v>
      </c>
      <c r="P95" s="268">
        <f t="shared" ref="P95" si="205">SUM(D95:O95)</f>
        <v>360000</v>
      </c>
      <c r="Q95" s="268">
        <f t="shared" ref="Q95" si="206">P95/12</f>
        <v>30000</v>
      </c>
      <c r="R95" s="267">
        <f>'Обобщенный расчет'!$H84</f>
        <v>30000</v>
      </c>
      <c r="S95" s="267">
        <f>'Обобщенный расчет'!$H84</f>
        <v>30000</v>
      </c>
      <c r="T95" s="267">
        <f>'Обобщенный расчет'!$H84</f>
        <v>30000</v>
      </c>
      <c r="U95" s="267">
        <f>'Обобщенный расчет'!$H84</f>
        <v>30000</v>
      </c>
      <c r="V95" s="267">
        <f>'Обобщенный расчет'!$H84</f>
        <v>30000</v>
      </c>
      <c r="W95" s="267">
        <f>'Обобщенный расчет'!$H84</f>
        <v>30000</v>
      </c>
      <c r="X95" s="267">
        <f>'Обобщенный расчет'!$H84</f>
        <v>30000</v>
      </c>
      <c r="Y95" s="267">
        <f>'Обобщенный расчет'!$H84</f>
        <v>30000</v>
      </c>
      <c r="Z95" s="267">
        <f>'Обобщенный расчет'!$H84</f>
        <v>30000</v>
      </c>
      <c r="AA95" s="267">
        <f>'Обобщенный расчет'!$H84</f>
        <v>30000</v>
      </c>
      <c r="AB95" s="267">
        <f>'Обобщенный расчет'!$H84</f>
        <v>30000</v>
      </c>
      <c r="AC95" s="267">
        <f>'Обобщенный расчет'!$H84</f>
        <v>30000</v>
      </c>
      <c r="AD95" s="268">
        <f t="shared" si="197"/>
        <v>360000</v>
      </c>
      <c r="AE95" s="268">
        <f t="shared" si="198"/>
        <v>30000</v>
      </c>
      <c r="AF95" s="267">
        <f>'Обобщенный расчет'!$H84</f>
        <v>30000</v>
      </c>
      <c r="AG95" s="267">
        <f>'Обобщенный расчет'!$H84</f>
        <v>30000</v>
      </c>
      <c r="AH95" s="267">
        <f>'Обобщенный расчет'!$H84</f>
        <v>30000</v>
      </c>
      <c r="AI95" s="267">
        <f>'Обобщенный расчет'!$H84</f>
        <v>30000</v>
      </c>
      <c r="AJ95" s="267">
        <f>'Обобщенный расчет'!$H84</f>
        <v>30000</v>
      </c>
      <c r="AK95" s="267">
        <f>'Обобщенный расчет'!$H84</f>
        <v>30000</v>
      </c>
      <c r="AL95" s="267">
        <f>'Обобщенный расчет'!$H84</f>
        <v>30000</v>
      </c>
      <c r="AM95" s="267">
        <f>'Обобщенный расчет'!$H84</f>
        <v>30000</v>
      </c>
      <c r="AN95" s="267">
        <f>'Обобщенный расчет'!$H84</f>
        <v>30000</v>
      </c>
      <c r="AO95" s="267">
        <f>'Обобщенный расчет'!$H84</f>
        <v>30000</v>
      </c>
      <c r="AP95" s="267">
        <f>'Обобщенный расчет'!$H84</f>
        <v>30000</v>
      </c>
      <c r="AQ95" s="267">
        <f>'Обобщенный расчет'!$H84</f>
        <v>30000</v>
      </c>
      <c r="AR95" s="268">
        <f t="shared" si="199"/>
        <v>360000</v>
      </c>
      <c r="AS95" s="268">
        <f t="shared" si="200"/>
        <v>30000</v>
      </c>
      <c r="AT95" s="268">
        <f t="shared" si="201"/>
        <v>1080000</v>
      </c>
      <c r="AU95" s="50"/>
    </row>
    <row r="96" spans="1:47" s="93" customFormat="1" ht="11.25">
      <c r="A96" s="89" t="s">
        <v>23</v>
      </c>
      <c r="B96" s="90" t="s">
        <v>105</v>
      </c>
      <c r="C96" s="90"/>
      <c r="D96" s="195">
        <f>SUM(D73:D95)</f>
        <v>668186.53762135922</v>
      </c>
      <c r="E96" s="195">
        <f t="shared" ref="E96:O96" si="207">SUM(E73:E95)</f>
        <v>668155.38349514571</v>
      </c>
      <c r="F96" s="195">
        <f t="shared" si="207"/>
        <v>655737.35482402914</v>
      </c>
      <c r="G96" s="195">
        <f t="shared" si="207"/>
        <v>660704.56629247568</v>
      </c>
      <c r="H96" s="195">
        <f t="shared" si="207"/>
        <v>645802.93188713596</v>
      </c>
      <c r="I96" s="195">
        <f t="shared" si="207"/>
        <v>648286.53762135922</v>
      </c>
      <c r="J96" s="195">
        <f t="shared" si="207"/>
        <v>658937.35482402914</v>
      </c>
      <c r="K96" s="195">
        <f t="shared" si="207"/>
        <v>655737.35482402914</v>
      </c>
      <c r="L96" s="195">
        <f t="shared" si="207"/>
        <v>645802.93188713596</v>
      </c>
      <c r="M96" s="195">
        <f t="shared" si="207"/>
        <v>653253.74908980587</v>
      </c>
      <c r="N96" s="195">
        <f t="shared" si="207"/>
        <v>648286.53762135922</v>
      </c>
      <c r="O96" s="195">
        <f t="shared" si="207"/>
        <v>645802.93188713596</v>
      </c>
      <c r="P96" s="195">
        <f t="shared" ref="P96" si="208">SUM(P73:P95)</f>
        <v>7854694.171875</v>
      </c>
      <c r="Q96" s="195">
        <f t="shared" ref="Q96" si="209">SUM(Q73:Q95)</f>
        <v>654557.84765625</v>
      </c>
      <c r="R96" s="195">
        <f>SUM(R73:R95)</f>
        <v>668186.53762135922</v>
      </c>
      <c r="S96" s="195">
        <f t="shared" ref="S96" si="210">SUM(S73:S95)</f>
        <v>668155.38349514571</v>
      </c>
      <c r="T96" s="195">
        <f t="shared" ref="T96" si="211">SUM(T73:T95)</f>
        <v>655737.35482402914</v>
      </c>
      <c r="U96" s="195">
        <f t="shared" ref="U96" si="212">SUM(U73:U95)</f>
        <v>660704.56629247568</v>
      </c>
      <c r="V96" s="195">
        <f t="shared" ref="V96" si="213">SUM(V73:V95)</f>
        <v>645802.93188713596</v>
      </c>
      <c r="W96" s="195">
        <f t="shared" ref="W96" si="214">SUM(W73:W95)</f>
        <v>648286.53762135922</v>
      </c>
      <c r="X96" s="195">
        <f t="shared" ref="X96" si="215">SUM(X73:X95)</f>
        <v>658937.35482402914</v>
      </c>
      <c r="Y96" s="195">
        <f t="shared" ref="Y96" si="216">SUM(Y73:Y95)</f>
        <v>655737.35482402914</v>
      </c>
      <c r="Z96" s="195">
        <f t="shared" ref="Z96" si="217">SUM(Z73:Z95)</f>
        <v>645802.93188713596</v>
      </c>
      <c r="AA96" s="195">
        <f t="shared" ref="AA96" si="218">SUM(AA73:AA95)</f>
        <v>653253.74908980587</v>
      </c>
      <c r="AB96" s="195">
        <f t="shared" ref="AB96" si="219">SUM(AB73:AB95)</f>
        <v>648286.53762135922</v>
      </c>
      <c r="AC96" s="195">
        <f t="shared" ref="AC96" si="220">SUM(AC73:AC95)</f>
        <v>645802.93188713596</v>
      </c>
      <c r="AD96" s="195">
        <f t="shared" ref="AD96" si="221">SUM(AD73:AD95)</f>
        <v>7854694.171875</v>
      </c>
      <c r="AE96" s="195">
        <f t="shared" ref="AE96" si="222">SUM(AE73:AE95)</f>
        <v>654557.84765625</v>
      </c>
      <c r="AF96" s="195">
        <f>SUM(AF73:AF95)</f>
        <v>668186.53762135922</v>
      </c>
      <c r="AG96" s="195">
        <f t="shared" ref="AG96" si="223">SUM(AG73:AG95)</f>
        <v>668155.38349514571</v>
      </c>
      <c r="AH96" s="195">
        <f t="shared" ref="AH96" si="224">SUM(AH73:AH95)</f>
        <v>655737.35482402914</v>
      </c>
      <c r="AI96" s="195">
        <f t="shared" ref="AI96" si="225">SUM(AI73:AI95)</f>
        <v>660704.56629247568</v>
      </c>
      <c r="AJ96" s="195">
        <f t="shared" ref="AJ96" si="226">SUM(AJ73:AJ95)</f>
        <v>645802.93188713596</v>
      </c>
      <c r="AK96" s="195">
        <f t="shared" ref="AK96" si="227">SUM(AK73:AK95)</f>
        <v>648286.53762135922</v>
      </c>
      <c r="AL96" s="195">
        <f t="shared" ref="AL96" si="228">SUM(AL73:AL95)</f>
        <v>658937.35482402914</v>
      </c>
      <c r="AM96" s="195">
        <f t="shared" ref="AM96" si="229">SUM(AM73:AM95)</f>
        <v>655737.35482402914</v>
      </c>
      <c r="AN96" s="195">
        <f t="shared" ref="AN96" si="230">SUM(AN73:AN95)</f>
        <v>645802.93188713596</v>
      </c>
      <c r="AO96" s="195">
        <f t="shared" ref="AO96" si="231">SUM(AO73:AO95)</f>
        <v>653253.74908980587</v>
      </c>
      <c r="AP96" s="195">
        <f t="shared" ref="AP96" si="232">SUM(AP73:AP95)</f>
        <v>648286.53762135922</v>
      </c>
      <c r="AQ96" s="195">
        <f t="shared" ref="AQ96" si="233">SUM(AQ73:AQ95)</f>
        <v>645802.93188713596</v>
      </c>
      <c r="AR96" s="195">
        <f t="shared" ref="AR96" si="234">SUM(AR73:AR95)</f>
        <v>7854694.171875</v>
      </c>
      <c r="AS96" s="195">
        <f t="shared" ref="AS96" si="235">SUM(AS73:AS95)</f>
        <v>654557.84765625</v>
      </c>
      <c r="AT96" s="195">
        <f t="shared" si="201"/>
        <v>23564082.515625</v>
      </c>
    </row>
    <row r="97" spans="1:46" s="17" customFormat="1" ht="11.25">
      <c r="A97" s="59"/>
      <c r="B97" s="60"/>
      <c r="C97" s="60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189"/>
      <c r="Q97" s="189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189"/>
      <c r="AE97" s="189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189"/>
      <c r="AS97" s="189"/>
      <c r="AT97" s="59"/>
    </row>
    <row r="98" spans="1:46" s="17" customFormat="1" ht="12" thickBot="1">
      <c r="A98" s="55"/>
      <c r="B98" s="54"/>
      <c r="C98" s="54"/>
      <c r="D98" s="62"/>
      <c r="E98" s="62"/>
      <c r="F98" s="62"/>
      <c r="G98" s="62"/>
      <c r="H98" s="62"/>
      <c r="I98" s="62"/>
      <c r="J98" s="55"/>
      <c r="K98" s="55"/>
      <c r="L98" s="55"/>
      <c r="M98" s="55"/>
      <c r="N98" s="55"/>
      <c r="O98" s="55"/>
      <c r="P98" s="188"/>
      <c r="Q98" s="188"/>
      <c r="R98" s="62"/>
      <c r="S98" s="62"/>
      <c r="T98" s="62"/>
      <c r="U98" s="62"/>
      <c r="V98" s="62"/>
      <c r="W98" s="62"/>
      <c r="X98" s="55"/>
      <c r="Y98" s="55"/>
      <c r="Z98" s="55"/>
      <c r="AA98" s="55"/>
      <c r="AB98" s="55"/>
      <c r="AC98" s="55"/>
      <c r="AD98" s="188"/>
      <c r="AE98" s="188"/>
      <c r="AF98" s="62"/>
      <c r="AG98" s="62"/>
      <c r="AH98" s="62"/>
      <c r="AI98" s="62"/>
      <c r="AJ98" s="62"/>
      <c r="AK98" s="62"/>
      <c r="AL98" s="55"/>
      <c r="AM98" s="55"/>
      <c r="AN98" s="55"/>
      <c r="AO98" s="55"/>
      <c r="AP98" s="55"/>
      <c r="AQ98" s="55"/>
      <c r="AR98" s="188"/>
      <c r="AS98" s="188"/>
      <c r="AT98" s="55"/>
    </row>
    <row r="99" spans="1:46" s="29" customFormat="1" ht="24" thickTop="1" thickBot="1">
      <c r="A99" s="27" t="s">
        <v>24</v>
      </c>
      <c r="B99" s="28"/>
      <c r="C99" s="28"/>
      <c r="D99" s="28" t="str">
        <f t="shared" ref="D99:O99" si="236">D$6</f>
        <v>сентябрь</v>
      </c>
      <c r="E99" s="28" t="str">
        <f t="shared" si="236"/>
        <v>октябрь</v>
      </c>
      <c r="F99" s="28" t="str">
        <f t="shared" si="236"/>
        <v>ноябрь</v>
      </c>
      <c r="G99" s="28" t="str">
        <f t="shared" si="236"/>
        <v>декабрь</v>
      </c>
      <c r="H99" s="28" t="str">
        <f t="shared" si="236"/>
        <v>январь</v>
      </c>
      <c r="I99" s="28" t="str">
        <f t="shared" si="236"/>
        <v>февраль</v>
      </c>
      <c r="J99" s="28" t="str">
        <f t="shared" si="236"/>
        <v>март</v>
      </c>
      <c r="K99" s="28" t="str">
        <f t="shared" si="236"/>
        <v>апрель</v>
      </c>
      <c r="L99" s="28" t="str">
        <f t="shared" si="236"/>
        <v>май</v>
      </c>
      <c r="M99" s="28" t="str">
        <f t="shared" si="236"/>
        <v>июнь</v>
      </c>
      <c r="N99" s="28" t="str">
        <f t="shared" si="236"/>
        <v>июль</v>
      </c>
      <c r="O99" s="28" t="str">
        <f t="shared" si="236"/>
        <v>август</v>
      </c>
      <c r="P99" s="186" t="str">
        <f>P71</f>
        <v>Итого за 1-й год</v>
      </c>
      <c r="Q99" s="186" t="str">
        <f>Q71</f>
        <v>Среднемесячно за 1-й год</v>
      </c>
      <c r="R99" s="28" t="str">
        <f t="shared" ref="R99:AC99" si="237">R$6</f>
        <v>сентябрь</v>
      </c>
      <c r="S99" s="28" t="str">
        <f t="shared" si="237"/>
        <v>октябрь</v>
      </c>
      <c r="T99" s="28" t="str">
        <f t="shared" si="237"/>
        <v>ноябрь</v>
      </c>
      <c r="U99" s="28" t="str">
        <f t="shared" si="237"/>
        <v>декабрь</v>
      </c>
      <c r="V99" s="28" t="str">
        <f t="shared" si="237"/>
        <v>январь</v>
      </c>
      <c r="W99" s="28" t="str">
        <f t="shared" si="237"/>
        <v>февраль</v>
      </c>
      <c r="X99" s="28" t="str">
        <f t="shared" si="237"/>
        <v>март</v>
      </c>
      <c r="Y99" s="28" t="str">
        <f t="shared" si="237"/>
        <v>апрель</v>
      </c>
      <c r="Z99" s="28" t="str">
        <f t="shared" si="237"/>
        <v>май</v>
      </c>
      <c r="AA99" s="28" t="str">
        <f t="shared" si="237"/>
        <v>июнь</v>
      </c>
      <c r="AB99" s="28" t="str">
        <f t="shared" si="237"/>
        <v>июль</v>
      </c>
      <c r="AC99" s="28" t="str">
        <f t="shared" si="237"/>
        <v>август</v>
      </c>
      <c r="AD99" s="186" t="str">
        <f>AD71</f>
        <v>Итого за 2-й год</v>
      </c>
      <c r="AE99" s="186" t="str">
        <f>AE71</f>
        <v>Среднемесячно за 2-й год</v>
      </c>
      <c r="AF99" s="28" t="str">
        <f t="shared" ref="AF99:AQ99" si="238">AF$6</f>
        <v>сентябрь</v>
      </c>
      <c r="AG99" s="28" t="str">
        <f t="shared" si="238"/>
        <v>октябрь</v>
      </c>
      <c r="AH99" s="28" t="str">
        <f t="shared" si="238"/>
        <v>ноябрь</v>
      </c>
      <c r="AI99" s="28" t="str">
        <f t="shared" si="238"/>
        <v>декабрь</v>
      </c>
      <c r="AJ99" s="28" t="str">
        <f t="shared" si="238"/>
        <v>январь</v>
      </c>
      <c r="AK99" s="28" t="str">
        <f t="shared" si="238"/>
        <v>февраль</v>
      </c>
      <c r="AL99" s="28" t="str">
        <f t="shared" si="238"/>
        <v>март</v>
      </c>
      <c r="AM99" s="28" t="str">
        <f t="shared" si="238"/>
        <v>апрель</v>
      </c>
      <c r="AN99" s="28" t="str">
        <f t="shared" si="238"/>
        <v>май</v>
      </c>
      <c r="AO99" s="28" t="str">
        <f t="shared" si="238"/>
        <v>июнь</v>
      </c>
      <c r="AP99" s="28" t="str">
        <f t="shared" si="238"/>
        <v>июль</v>
      </c>
      <c r="AQ99" s="28" t="str">
        <f t="shared" si="238"/>
        <v>август</v>
      </c>
      <c r="AR99" s="186" t="str">
        <f>AR71</f>
        <v>Итого за 3-й год</v>
      </c>
      <c r="AS99" s="186" t="str">
        <f>AS71</f>
        <v>Среднемесячно за 3-й год</v>
      </c>
      <c r="AT99" s="196" t="str">
        <f>AT71</f>
        <v>Итого за три года</v>
      </c>
    </row>
    <row r="100" spans="1:46" s="29" customFormat="1" ht="12" thickTop="1">
      <c r="A100" s="30"/>
      <c r="B100" s="63"/>
      <c r="C100" s="63"/>
      <c r="D100" s="31"/>
      <c r="E100" s="31"/>
      <c r="F100" s="31"/>
      <c r="G100" s="31"/>
      <c r="H100" s="31"/>
      <c r="I100" s="31"/>
      <c r="J100" s="31"/>
      <c r="K100" s="31"/>
      <c r="P100" s="82"/>
      <c r="Q100" s="82"/>
      <c r="R100" s="31"/>
      <c r="S100" s="31"/>
      <c r="T100" s="31"/>
      <c r="U100" s="31"/>
      <c r="V100" s="31"/>
      <c r="W100" s="31"/>
      <c r="X100" s="31"/>
      <c r="Y100" s="31"/>
      <c r="AD100" s="82"/>
      <c r="AE100" s="82"/>
      <c r="AF100" s="31"/>
      <c r="AG100" s="31"/>
      <c r="AH100" s="31"/>
      <c r="AI100" s="31"/>
      <c r="AJ100" s="31"/>
      <c r="AK100" s="31"/>
      <c r="AL100" s="31"/>
      <c r="AM100" s="31"/>
      <c r="AR100" s="82"/>
      <c r="AS100" s="82"/>
    </row>
    <row r="101" spans="1:46" s="29" customFormat="1" ht="11.25">
      <c r="A101" s="64" t="s">
        <v>25</v>
      </c>
      <c r="B101" s="37" t="s">
        <v>105</v>
      </c>
      <c r="C101" s="37"/>
      <c r="D101" s="218">
        <f t="shared" ref="D101:O101" si="239">D33</f>
        <v>1703043.9320388352</v>
      </c>
      <c r="E101" s="218">
        <f t="shared" si="239"/>
        <v>2270725.2427184465</v>
      </c>
      <c r="F101" s="218">
        <f t="shared" si="239"/>
        <v>1915924.4235436891</v>
      </c>
      <c r="G101" s="218">
        <f t="shared" si="239"/>
        <v>2057844.7512135922</v>
      </c>
      <c r="H101" s="218">
        <f t="shared" si="239"/>
        <v>1632083.7682038837</v>
      </c>
      <c r="I101" s="218">
        <f t="shared" si="239"/>
        <v>1703043.9320388352</v>
      </c>
      <c r="J101" s="218">
        <f t="shared" si="239"/>
        <v>1915924.4235436891</v>
      </c>
      <c r="K101" s="218">
        <f t="shared" si="239"/>
        <v>1915924.4235436891</v>
      </c>
      <c r="L101" s="218">
        <f t="shared" si="239"/>
        <v>1632083.7682038837</v>
      </c>
      <c r="M101" s="218">
        <f t="shared" si="239"/>
        <v>1844964.259708738</v>
      </c>
      <c r="N101" s="218">
        <f t="shared" si="239"/>
        <v>1703043.9320388352</v>
      </c>
      <c r="O101" s="218">
        <f t="shared" si="239"/>
        <v>1632083.7682038837</v>
      </c>
      <c r="P101" s="219">
        <f t="shared" ref="P101" si="240">SUM(D101:O101)</f>
        <v>21926690.625000007</v>
      </c>
      <c r="Q101" s="219">
        <f t="shared" ref="Q101:Q107" si="241">P101/12</f>
        <v>1827224.2187500007</v>
      </c>
      <c r="R101" s="218">
        <f t="shared" ref="R101:AC101" si="242">R33</f>
        <v>1703043.9320388352</v>
      </c>
      <c r="S101" s="218">
        <f t="shared" si="242"/>
        <v>2270725.2427184465</v>
      </c>
      <c r="T101" s="218">
        <f t="shared" si="242"/>
        <v>1915924.4235436891</v>
      </c>
      <c r="U101" s="218">
        <f t="shared" si="242"/>
        <v>2057844.7512135922</v>
      </c>
      <c r="V101" s="218">
        <f t="shared" si="242"/>
        <v>1632083.7682038837</v>
      </c>
      <c r="W101" s="218">
        <f t="shared" si="242"/>
        <v>1703043.9320388352</v>
      </c>
      <c r="X101" s="218">
        <f t="shared" si="242"/>
        <v>1915924.4235436891</v>
      </c>
      <c r="Y101" s="218">
        <f t="shared" si="242"/>
        <v>1915924.4235436891</v>
      </c>
      <c r="Z101" s="218">
        <f t="shared" si="242"/>
        <v>1632083.7682038837</v>
      </c>
      <c r="AA101" s="218">
        <f t="shared" si="242"/>
        <v>1844964.259708738</v>
      </c>
      <c r="AB101" s="218">
        <f t="shared" si="242"/>
        <v>1703043.9320388352</v>
      </c>
      <c r="AC101" s="218">
        <f t="shared" si="242"/>
        <v>1632083.7682038837</v>
      </c>
      <c r="AD101" s="219">
        <f t="shared" ref="AD101:AD107" si="243">SUM(R101:AC101)</f>
        <v>21926690.625000007</v>
      </c>
      <c r="AE101" s="219">
        <f t="shared" ref="AE101:AE107" si="244">AD101/12</f>
        <v>1827224.2187500007</v>
      </c>
      <c r="AF101" s="218">
        <f t="shared" ref="AF101:AQ101" si="245">AF33</f>
        <v>1703043.9320388352</v>
      </c>
      <c r="AG101" s="218">
        <f t="shared" si="245"/>
        <v>2270725.2427184465</v>
      </c>
      <c r="AH101" s="218">
        <f t="shared" si="245"/>
        <v>1915924.4235436891</v>
      </c>
      <c r="AI101" s="218">
        <f t="shared" si="245"/>
        <v>2057844.7512135922</v>
      </c>
      <c r="AJ101" s="218">
        <f t="shared" si="245"/>
        <v>1632083.7682038837</v>
      </c>
      <c r="AK101" s="218">
        <f t="shared" si="245"/>
        <v>1703043.9320388352</v>
      </c>
      <c r="AL101" s="218">
        <f t="shared" si="245"/>
        <v>1915924.4235436891</v>
      </c>
      <c r="AM101" s="218">
        <f t="shared" si="245"/>
        <v>1915924.4235436891</v>
      </c>
      <c r="AN101" s="218">
        <f t="shared" si="245"/>
        <v>1632083.7682038837</v>
      </c>
      <c r="AO101" s="218">
        <f t="shared" si="245"/>
        <v>1844964.259708738</v>
      </c>
      <c r="AP101" s="218">
        <f t="shared" si="245"/>
        <v>1703043.9320388352</v>
      </c>
      <c r="AQ101" s="218">
        <f t="shared" si="245"/>
        <v>1632083.7682038837</v>
      </c>
      <c r="AR101" s="219">
        <f t="shared" ref="AR101:AR107" si="246">SUM(AF101:AQ101)</f>
        <v>21926690.625000007</v>
      </c>
      <c r="AS101" s="219">
        <f t="shared" ref="AS101:AS107" si="247">AR101/12</f>
        <v>1827224.2187500007</v>
      </c>
      <c r="AT101" s="220">
        <f t="shared" ref="AT101:AT105" si="248">P101+AD101+AR101</f>
        <v>65780071.875000022</v>
      </c>
    </row>
    <row r="102" spans="1:46" s="29" customFormat="1" ht="11.25">
      <c r="A102" s="36" t="str">
        <f>"- Себестоимость"</f>
        <v>- Себестоимость</v>
      </c>
      <c r="B102" s="37" t="s">
        <v>105</v>
      </c>
      <c r="C102" s="37"/>
      <c r="D102" s="218">
        <f t="shared" ref="D102:O102" si="249">D55</f>
        <v>699199.05379905959</v>
      </c>
      <c r="E102" s="218">
        <f t="shared" si="249"/>
        <v>932265.40506541287</v>
      </c>
      <c r="F102" s="218">
        <f t="shared" si="249"/>
        <v>786598.93552394188</v>
      </c>
      <c r="G102" s="218">
        <f t="shared" si="249"/>
        <v>844865.52334053034</v>
      </c>
      <c r="H102" s="218">
        <f t="shared" si="249"/>
        <v>670065.75989076553</v>
      </c>
      <c r="I102" s="218">
        <f t="shared" si="249"/>
        <v>699199.05379905959</v>
      </c>
      <c r="J102" s="218">
        <f t="shared" si="249"/>
        <v>786598.93552394188</v>
      </c>
      <c r="K102" s="218">
        <f t="shared" si="249"/>
        <v>786598.93552394188</v>
      </c>
      <c r="L102" s="218">
        <f t="shared" si="249"/>
        <v>670065.75989076553</v>
      </c>
      <c r="M102" s="218">
        <f t="shared" si="249"/>
        <v>757465.64161564794</v>
      </c>
      <c r="N102" s="218">
        <f t="shared" si="249"/>
        <v>699199.05379905959</v>
      </c>
      <c r="O102" s="218">
        <f t="shared" si="249"/>
        <v>670065.75989076553</v>
      </c>
      <c r="P102" s="219">
        <f t="shared" ref="P102:P105" si="250">SUM(D102:O102)</f>
        <v>9002187.817662891</v>
      </c>
      <c r="Q102" s="219">
        <f t="shared" si="241"/>
        <v>750182.31813857425</v>
      </c>
      <c r="R102" s="218">
        <f t="shared" ref="R102:AC102" si="251">R55</f>
        <v>699199.05379905959</v>
      </c>
      <c r="S102" s="218">
        <f t="shared" si="251"/>
        <v>932265.40506541287</v>
      </c>
      <c r="T102" s="218">
        <f t="shared" si="251"/>
        <v>786598.93552394188</v>
      </c>
      <c r="U102" s="218">
        <f t="shared" si="251"/>
        <v>844865.52334053034</v>
      </c>
      <c r="V102" s="218">
        <f t="shared" si="251"/>
        <v>670065.75989076553</v>
      </c>
      <c r="W102" s="218">
        <f t="shared" si="251"/>
        <v>699199.05379905959</v>
      </c>
      <c r="X102" s="218">
        <f t="shared" si="251"/>
        <v>786598.93552394188</v>
      </c>
      <c r="Y102" s="218">
        <f t="shared" si="251"/>
        <v>786598.93552394188</v>
      </c>
      <c r="Z102" s="218">
        <f t="shared" si="251"/>
        <v>670065.75989076553</v>
      </c>
      <c r="AA102" s="218">
        <f t="shared" si="251"/>
        <v>757465.64161564794</v>
      </c>
      <c r="AB102" s="218">
        <f t="shared" si="251"/>
        <v>699199.05379905959</v>
      </c>
      <c r="AC102" s="218">
        <f t="shared" si="251"/>
        <v>670065.75989076553</v>
      </c>
      <c r="AD102" s="219">
        <f t="shared" si="243"/>
        <v>9002187.817662891</v>
      </c>
      <c r="AE102" s="219">
        <f t="shared" si="244"/>
        <v>750182.31813857425</v>
      </c>
      <c r="AF102" s="218">
        <f t="shared" ref="AF102:AQ102" si="252">AF55</f>
        <v>699199.05379905959</v>
      </c>
      <c r="AG102" s="218">
        <f t="shared" si="252"/>
        <v>932265.40506541287</v>
      </c>
      <c r="AH102" s="218">
        <f t="shared" si="252"/>
        <v>786598.93552394188</v>
      </c>
      <c r="AI102" s="218">
        <f t="shared" si="252"/>
        <v>844865.52334053034</v>
      </c>
      <c r="AJ102" s="218">
        <f t="shared" si="252"/>
        <v>670065.75989076553</v>
      </c>
      <c r="AK102" s="218">
        <f t="shared" si="252"/>
        <v>699199.05379905959</v>
      </c>
      <c r="AL102" s="218">
        <f t="shared" si="252"/>
        <v>786598.93552394188</v>
      </c>
      <c r="AM102" s="218">
        <f t="shared" si="252"/>
        <v>786598.93552394188</v>
      </c>
      <c r="AN102" s="218">
        <f t="shared" si="252"/>
        <v>670065.75989076553</v>
      </c>
      <c r="AO102" s="218">
        <f t="shared" si="252"/>
        <v>757465.64161564794</v>
      </c>
      <c r="AP102" s="218">
        <f t="shared" si="252"/>
        <v>699199.05379905959</v>
      </c>
      <c r="AQ102" s="218">
        <f t="shared" si="252"/>
        <v>670065.75989076553</v>
      </c>
      <c r="AR102" s="219">
        <f t="shared" si="246"/>
        <v>9002187.817662891</v>
      </c>
      <c r="AS102" s="219">
        <f t="shared" si="247"/>
        <v>750182.31813857425</v>
      </c>
      <c r="AT102" s="220">
        <f t="shared" si="248"/>
        <v>27006563.452988673</v>
      </c>
    </row>
    <row r="103" spans="1:46" s="29" customFormat="1" ht="11.25">
      <c r="A103" s="64" t="s">
        <v>26</v>
      </c>
      <c r="B103" s="37" t="s">
        <v>105</v>
      </c>
      <c r="C103" s="37"/>
      <c r="D103" s="218">
        <f>D101-D102</f>
        <v>1003844.8782397757</v>
      </c>
      <c r="E103" s="218">
        <f t="shared" ref="E103:O103" si="253">E101-E102</f>
        <v>1338459.8376530337</v>
      </c>
      <c r="F103" s="218">
        <f t="shared" si="253"/>
        <v>1129325.4880197472</v>
      </c>
      <c r="G103" s="218">
        <f t="shared" si="253"/>
        <v>1212979.2278730618</v>
      </c>
      <c r="H103" s="218">
        <f t="shared" si="253"/>
        <v>962018.00831311813</v>
      </c>
      <c r="I103" s="218">
        <f t="shared" si="253"/>
        <v>1003844.8782397757</v>
      </c>
      <c r="J103" s="218">
        <f t="shared" si="253"/>
        <v>1129325.4880197472</v>
      </c>
      <c r="K103" s="218">
        <f t="shared" si="253"/>
        <v>1129325.4880197472</v>
      </c>
      <c r="L103" s="218">
        <f t="shared" si="253"/>
        <v>962018.00831311813</v>
      </c>
      <c r="M103" s="218">
        <f t="shared" si="253"/>
        <v>1087498.6180930901</v>
      </c>
      <c r="N103" s="218">
        <f t="shared" si="253"/>
        <v>1003844.8782397757</v>
      </c>
      <c r="O103" s="218">
        <f t="shared" si="253"/>
        <v>962018.00831311813</v>
      </c>
      <c r="P103" s="219">
        <f t="shared" si="250"/>
        <v>12924502.807337109</v>
      </c>
      <c r="Q103" s="219">
        <f t="shared" si="241"/>
        <v>1077041.9006114257</v>
      </c>
      <c r="R103" s="218">
        <f>R101-R102</f>
        <v>1003844.8782397757</v>
      </c>
      <c r="S103" s="218">
        <f t="shared" ref="S103:AC103" si="254">S101-S102</f>
        <v>1338459.8376530337</v>
      </c>
      <c r="T103" s="218">
        <f t="shared" si="254"/>
        <v>1129325.4880197472</v>
      </c>
      <c r="U103" s="218">
        <f t="shared" si="254"/>
        <v>1212979.2278730618</v>
      </c>
      <c r="V103" s="218">
        <f t="shared" si="254"/>
        <v>962018.00831311813</v>
      </c>
      <c r="W103" s="218">
        <f t="shared" si="254"/>
        <v>1003844.8782397757</v>
      </c>
      <c r="X103" s="218">
        <f t="shared" si="254"/>
        <v>1129325.4880197472</v>
      </c>
      <c r="Y103" s="218">
        <f t="shared" si="254"/>
        <v>1129325.4880197472</v>
      </c>
      <c r="Z103" s="218">
        <f t="shared" si="254"/>
        <v>962018.00831311813</v>
      </c>
      <c r="AA103" s="218">
        <f t="shared" si="254"/>
        <v>1087498.6180930901</v>
      </c>
      <c r="AB103" s="218">
        <f t="shared" si="254"/>
        <v>1003844.8782397757</v>
      </c>
      <c r="AC103" s="218">
        <f t="shared" si="254"/>
        <v>962018.00831311813</v>
      </c>
      <c r="AD103" s="219">
        <f t="shared" si="243"/>
        <v>12924502.807337109</v>
      </c>
      <c r="AE103" s="219">
        <f t="shared" si="244"/>
        <v>1077041.9006114257</v>
      </c>
      <c r="AF103" s="218">
        <f>AF101-AF102</f>
        <v>1003844.8782397757</v>
      </c>
      <c r="AG103" s="218">
        <f t="shared" ref="AG103:AQ103" si="255">AG101-AG102</f>
        <v>1338459.8376530337</v>
      </c>
      <c r="AH103" s="218">
        <f t="shared" si="255"/>
        <v>1129325.4880197472</v>
      </c>
      <c r="AI103" s="218">
        <f t="shared" si="255"/>
        <v>1212979.2278730618</v>
      </c>
      <c r="AJ103" s="218">
        <f t="shared" si="255"/>
        <v>962018.00831311813</v>
      </c>
      <c r="AK103" s="218">
        <f t="shared" si="255"/>
        <v>1003844.8782397757</v>
      </c>
      <c r="AL103" s="218">
        <f t="shared" si="255"/>
        <v>1129325.4880197472</v>
      </c>
      <c r="AM103" s="218">
        <f t="shared" si="255"/>
        <v>1129325.4880197472</v>
      </c>
      <c r="AN103" s="218">
        <f t="shared" si="255"/>
        <v>962018.00831311813</v>
      </c>
      <c r="AO103" s="218">
        <f t="shared" si="255"/>
        <v>1087498.6180930901</v>
      </c>
      <c r="AP103" s="218">
        <f t="shared" si="255"/>
        <v>1003844.8782397757</v>
      </c>
      <c r="AQ103" s="218">
        <f t="shared" si="255"/>
        <v>962018.00831311813</v>
      </c>
      <c r="AR103" s="219">
        <f t="shared" si="246"/>
        <v>12924502.807337109</v>
      </c>
      <c r="AS103" s="219">
        <f t="shared" si="247"/>
        <v>1077041.9006114257</v>
      </c>
      <c r="AT103" s="220">
        <f t="shared" si="248"/>
        <v>38773508.422011331</v>
      </c>
    </row>
    <row r="104" spans="1:46" s="97" customFormat="1" ht="11.25">
      <c r="A104" s="95" t="str">
        <f>"- Инвестиции"</f>
        <v>- Инвестиции</v>
      </c>
      <c r="B104" s="96" t="s">
        <v>105</v>
      </c>
      <c r="C104" s="307">
        <f>C69</f>
        <v>4458000</v>
      </c>
      <c r="D104" s="221">
        <f>D69</f>
        <v>0</v>
      </c>
      <c r="E104" s="221">
        <f t="shared" ref="E104:O104" si="256">E69</f>
        <v>0</v>
      </c>
      <c r="F104" s="221">
        <f t="shared" si="256"/>
        <v>0</v>
      </c>
      <c r="G104" s="221">
        <f t="shared" si="256"/>
        <v>0</v>
      </c>
      <c r="H104" s="221">
        <f t="shared" si="256"/>
        <v>0</v>
      </c>
      <c r="I104" s="221">
        <f t="shared" si="256"/>
        <v>0</v>
      </c>
      <c r="J104" s="221">
        <f t="shared" si="256"/>
        <v>0</v>
      </c>
      <c r="K104" s="221">
        <f t="shared" si="256"/>
        <v>0</v>
      </c>
      <c r="L104" s="221">
        <f t="shared" si="256"/>
        <v>0</v>
      </c>
      <c r="M104" s="221">
        <f t="shared" si="256"/>
        <v>0</v>
      </c>
      <c r="N104" s="221">
        <f t="shared" si="256"/>
        <v>0</v>
      </c>
      <c r="O104" s="221">
        <f t="shared" si="256"/>
        <v>0</v>
      </c>
      <c r="P104" s="219">
        <f t="shared" si="250"/>
        <v>0</v>
      </c>
      <c r="Q104" s="219"/>
      <c r="R104" s="221">
        <f t="shared" ref="R104:AC104" si="257">R69</f>
        <v>0</v>
      </c>
      <c r="S104" s="221">
        <f t="shared" si="257"/>
        <v>0</v>
      </c>
      <c r="T104" s="221">
        <f t="shared" si="257"/>
        <v>0</v>
      </c>
      <c r="U104" s="221">
        <f t="shared" si="257"/>
        <v>0</v>
      </c>
      <c r="V104" s="221">
        <f t="shared" si="257"/>
        <v>0</v>
      </c>
      <c r="W104" s="221">
        <f t="shared" si="257"/>
        <v>0</v>
      </c>
      <c r="X104" s="221">
        <f t="shared" si="257"/>
        <v>0</v>
      </c>
      <c r="Y104" s="221">
        <f t="shared" si="257"/>
        <v>0</v>
      </c>
      <c r="Z104" s="221">
        <f t="shared" si="257"/>
        <v>0</v>
      </c>
      <c r="AA104" s="221">
        <f t="shared" si="257"/>
        <v>0</v>
      </c>
      <c r="AB104" s="221">
        <f t="shared" si="257"/>
        <v>0</v>
      </c>
      <c r="AC104" s="221">
        <f t="shared" si="257"/>
        <v>0</v>
      </c>
      <c r="AD104" s="219">
        <f t="shared" si="243"/>
        <v>0</v>
      </c>
      <c r="AE104" s="219"/>
      <c r="AF104" s="221">
        <f t="shared" ref="AF104:AQ104" si="258">AF69</f>
        <v>0</v>
      </c>
      <c r="AG104" s="221">
        <f t="shared" si="258"/>
        <v>0</v>
      </c>
      <c r="AH104" s="221">
        <f t="shared" si="258"/>
        <v>0</v>
      </c>
      <c r="AI104" s="221">
        <f t="shared" si="258"/>
        <v>0</v>
      </c>
      <c r="AJ104" s="221">
        <f t="shared" si="258"/>
        <v>0</v>
      </c>
      <c r="AK104" s="221">
        <f t="shared" si="258"/>
        <v>0</v>
      </c>
      <c r="AL104" s="221">
        <f t="shared" si="258"/>
        <v>0</v>
      </c>
      <c r="AM104" s="221">
        <f t="shared" si="258"/>
        <v>0</v>
      </c>
      <c r="AN104" s="221">
        <f t="shared" si="258"/>
        <v>0</v>
      </c>
      <c r="AO104" s="221">
        <f t="shared" si="258"/>
        <v>0</v>
      </c>
      <c r="AP104" s="221">
        <f t="shared" si="258"/>
        <v>0</v>
      </c>
      <c r="AQ104" s="221">
        <f t="shared" si="258"/>
        <v>0</v>
      </c>
      <c r="AR104" s="219">
        <f t="shared" si="246"/>
        <v>0</v>
      </c>
      <c r="AS104" s="219"/>
      <c r="AT104" s="220">
        <f t="shared" si="248"/>
        <v>0</v>
      </c>
    </row>
    <row r="105" spans="1:46" s="29" customFormat="1" ht="11.25">
      <c r="A105" s="36" t="str">
        <f>"- Текущие затраты"</f>
        <v>- Текущие затраты</v>
      </c>
      <c r="B105" s="37" t="s">
        <v>105</v>
      </c>
      <c r="C105" s="37"/>
      <c r="D105" s="218">
        <f>D96</f>
        <v>668186.53762135922</v>
      </c>
      <c r="E105" s="218">
        <f t="shared" ref="E105:O105" si="259">E96</f>
        <v>668155.38349514571</v>
      </c>
      <c r="F105" s="218">
        <f t="shared" si="259"/>
        <v>655737.35482402914</v>
      </c>
      <c r="G105" s="218">
        <f t="shared" si="259"/>
        <v>660704.56629247568</v>
      </c>
      <c r="H105" s="218">
        <f t="shared" si="259"/>
        <v>645802.93188713596</v>
      </c>
      <c r="I105" s="218">
        <f t="shared" si="259"/>
        <v>648286.53762135922</v>
      </c>
      <c r="J105" s="218">
        <f t="shared" si="259"/>
        <v>658937.35482402914</v>
      </c>
      <c r="K105" s="218">
        <f t="shared" si="259"/>
        <v>655737.35482402914</v>
      </c>
      <c r="L105" s="218">
        <f t="shared" si="259"/>
        <v>645802.93188713596</v>
      </c>
      <c r="M105" s="218">
        <f t="shared" si="259"/>
        <v>653253.74908980587</v>
      </c>
      <c r="N105" s="218">
        <f t="shared" si="259"/>
        <v>648286.53762135922</v>
      </c>
      <c r="O105" s="218">
        <f t="shared" si="259"/>
        <v>645802.93188713596</v>
      </c>
      <c r="P105" s="219">
        <f t="shared" si="250"/>
        <v>7854694.171875</v>
      </c>
      <c r="Q105" s="219">
        <f t="shared" si="241"/>
        <v>654557.84765625</v>
      </c>
      <c r="R105" s="218">
        <f>R96</f>
        <v>668186.53762135922</v>
      </c>
      <c r="S105" s="218">
        <f t="shared" ref="S105:AC105" si="260">S96</f>
        <v>668155.38349514571</v>
      </c>
      <c r="T105" s="218">
        <f t="shared" si="260"/>
        <v>655737.35482402914</v>
      </c>
      <c r="U105" s="218">
        <f t="shared" si="260"/>
        <v>660704.56629247568</v>
      </c>
      <c r="V105" s="218">
        <f t="shared" si="260"/>
        <v>645802.93188713596</v>
      </c>
      <c r="W105" s="218">
        <f t="shared" si="260"/>
        <v>648286.53762135922</v>
      </c>
      <c r="X105" s="218">
        <f t="shared" si="260"/>
        <v>658937.35482402914</v>
      </c>
      <c r="Y105" s="218">
        <f t="shared" si="260"/>
        <v>655737.35482402914</v>
      </c>
      <c r="Z105" s="218">
        <f t="shared" si="260"/>
        <v>645802.93188713596</v>
      </c>
      <c r="AA105" s="218">
        <f t="shared" si="260"/>
        <v>653253.74908980587</v>
      </c>
      <c r="AB105" s="218">
        <f t="shared" si="260"/>
        <v>648286.53762135922</v>
      </c>
      <c r="AC105" s="218">
        <f t="shared" si="260"/>
        <v>645802.93188713596</v>
      </c>
      <c r="AD105" s="219">
        <f t="shared" si="243"/>
        <v>7854694.171875</v>
      </c>
      <c r="AE105" s="219">
        <f t="shared" si="244"/>
        <v>654557.84765625</v>
      </c>
      <c r="AF105" s="218">
        <f>AF96</f>
        <v>668186.53762135922</v>
      </c>
      <c r="AG105" s="218">
        <f t="shared" ref="AG105:AQ105" si="261">AG96</f>
        <v>668155.38349514571</v>
      </c>
      <c r="AH105" s="218">
        <f t="shared" si="261"/>
        <v>655737.35482402914</v>
      </c>
      <c r="AI105" s="218">
        <f t="shared" si="261"/>
        <v>660704.56629247568</v>
      </c>
      <c r="AJ105" s="218">
        <f t="shared" si="261"/>
        <v>645802.93188713596</v>
      </c>
      <c r="AK105" s="218">
        <f t="shared" si="261"/>
        <v>648286.53762135922</v>
      </c>
      <c r="AL105" s="218">
        <f t="shared" si="261"/>
        <v>658937.35482402914</v>
      </c>
      <c r="AM105" s="218">
        <f t="shared" si="261"/>
        <v>655737.35482402914</v>
      </c>
      <c r="AN105" s="218">
        <f t="shared" si="261"/>
        <v>645802.93188713596</v>
      </c>
      <c r="AO105" s="218">
        <f t="shared" si="261"/>
        <v>653253.74908980587</v>
      </c>
      <c r="AP105" s="218">
        <f t="shared" si="261"/>
        <v>648286.53762135922</v>
      </c>
      <c r="AQ105" s="218">
        <f t="shared" si="261"/>
        <v>645802.93188713596</v>
      </c>
      <c r="AR105" s="219">
        <f t="shared" si="246"/>
        <v>7854694.171875</v>
      </c>
      <c r="AS105" s="219">
        <f t="shared" si="247"/>
        <v>654557.84765625</v>
      </c>
      <c r="AT105" s="220">
        <f t="shared" si="248"/>
        <v>23564082.515625</v>
      </c>
    </row>
    <row r="106" spans="1:46" s="29" customFormat="1" ht="11.25">
      <c r="A106" s="94" t="s">
        <v>73</v>
      </c>
      <c r="B106" s="37" t="s">
        <v>105</v>
      </c>
      <c r="C106" s="37"/>
      <c r="D106" s="218">
        <f>D103-C104-D105</f>
        <v>-4122341.6593815838</v>
      </c>
      <c r="E106" s="218">
        <f>E103-E104-E105</f>
        <v>670304.45415788796</v>
      </c>
      <c r="F106" s="218">
        <f t="shared" ref="F106:O106" si="262">F103-F104-F105</f>
        <v>473588.13319571805</v>
      </c>
      <c r="G106" s="218">
        <f t="shared" si="262"/>
        <v>552274.66158058611</v>
      </c>
      <c r="H106" s="218">
        <f t="shared" si="262"/>
        <v>316215.07642598217</v>
      </c>
      <c r="I106" s="218">
        <f t="shared" si="262"/>
        <v>355558.34061841643</v>
      </c>
      <c r="J106" s="218">
        <f t="shared" si="262"/>
        <v>470388.13319571805</v>
      </c>
      <c r="K106" s="218">
        <f t="shared" si="262"/>
        <v>473588.13319571805</v>
      </c>
      <c r="L106" s="218">
        <f t="shared" si="262"/>
        <v>316215.07642598217</v>
      </c>
      <c r="M106" s="218">
        <f t="shared" si="262"/>
        <v>434244.86900328426</v>
      </c>
      <c r="N106" s="218">
        <f t="shared" si="262"/>
        <v>355558.34061841643</v>
      </c>
      <c r="O106" s="218">
        <f t="shared" si="262"/>
        <v>316215.07642598217</v>
      </c>
      <c r="P106" s="219">
        <f t="shared" ref="P106" si="263">SUM(D106:O106)</f>
        <v>611808.63546210807</v>
      </c>
      <c r="Q106" s="219">
        <f t="shared" si="241"/>
        <v>50984.05295517567</v>
      </c>
      <c r="R106" s="218">
        <f>R103-R104-R105</f>
        <v>335658.34061841643</v>
      </c>
      <c r="S106" s="218">
        <f>S103-S104-S105</f>
        <v>670304.45415788796</v>
      </c>
      <c r="T106" s="218">
        <f t="shared" ref="T106:AC106" si="264">T103-T104-T105</f>
        <v>473588.13319571805</v>
      </c>
      <c r="U106" s="218">
        <f t="shared" si="264"/>
        <v>552274.66158058611</v>
      </c>
      <c r="V106" s="218">
        <f t="shared" si="264"/>
        <v>316215.07642598217</v>
      </c>
      <c r="W106" s="218">
        <f t="shared" si="264"/>
        <v>355558.34061841643</v>
      </c>
      <c r="X106" s="218">
        <f t="shared" si="264"/>
        <v>470388.13319571805</v>
      </c>
      <c r="Y106" s="218">
        <f t="shared" si="264"/>
        <v>473588.13319571805</v>
      </c>
      <c r="Z106" s="218">
        <f t="shared" si="264"/>
        <v>316215.07642598217</v>
      </c>
      <c r="AA106" s="218">
        <f t="shared" si="264"/>
        <v>434244.86900328426</v>
      </c>
      <c r="AB106" s="218">
        <f t="shared" si="264"/>
        <v>355558.34061841643</v>
      </c>
      <c r="AC106" s="218">
        <f t="shared" si="264"/>
        <v>316215.07642598217</v>
      </c>
      <c r="AD106" s="219">
        <f t="shared" si="243"/>
        <v>5069808.635462109</v>
      </c>
      <c r="AE106" s="219">
        <f t="shared" si="244"/>
        <v>422484.05295517575</v>
      </c>
      <c r="AF106" s="218">
        <f>AF103-AF104-AF105</f>
        <v>335658.34061841643</v>
      </c>
      <c r="AG106" s="218">
        <f>AG103-AG104-AG105</f>
        <v>670304.45415788796</v>
      </c>
      <c r="AH106" s="218">
        <f t="shared" ref="AH106:AQ106" si="265">AH103-AH104-AH105</f>
        <v>473588.13319571805</v>
      </c>
      <c r="AI106" s="218">
        <f t="shared" si="265"/>
        <v>552274.66158058611</v>
      </c>
      <c r="AJ106" s="218">
        <f t="shared" si="265"/>
        <v>316215.07642598217</v>
      </c>
      <c r="AK106" s="218">
        <f t="shared" si="265"/>
        <v>355558.34061841643</v>
      </c>
      <c r="AL106" s="218">
        <f t="shared" si="265"/>
        <v>470388.13319571805</v>
      </c>
      <c r="AM106" s="218">
        <f t="shared" si="265"/>
        <v>473588.13319571805</v>
      </c>
      <c r="AN106" s="218">
        <f t="shared" si="265"/>
        <v>316215.07642598217</v>
      </c>
      <c r="AO106" s="218">
        <f t="shared" si="265"/>
        <v>434244.86900328426</v>
      </c>
      <c r="AP106" s="218">
        <f t="shared" si="265"/>
        <v>355558.34061841643</v>
      </c>
      <c r="AQ106" s="218">
        <f t="shared" si="265"/>
        <v>316215.07642598217</v>
      </c>
      <c r="AR106" s="219">
        <f t="shared" si="246"/>
        <v>5069808.635462109</v>
      </c>
      <c r="AS106" s="219">
        <f t="shared" si="247"/>
        <v>422484.05295517575</v>
      </c>
      <c r="AT106" s="220">
        <f>P106+AD106+AR106</f>
        <v>10751425.906386327</v>
      </c>
    </row>
    <row r="107" spans="1:46" s="29" customFormat="1" ht="11.25">
      <c r="A107" s="94" t="s">
        <v>78</v>
      </c>
      <c r="B107" s="37" t="s">
        <v>105</v>
      </c>
      <c r="C107" s="37"/>
      <c r="D107" s="218">
        <f>D103-D105</f>
        <v>335658.34061841643</v>
      </c>
      <c r="E107" s="218">
        <f t="shared" ref="E107:AC107" si="266">E103-E105</f>
        <v>670304.45415788796</v>
      </c>
      <c r="F107" s="218">
        <f t="shared" si="266"/>
        <v>473588.13319571805</v>
      </c>
      <c r="G107" s="218">
        <f t="shared" si="266"/>
        <v>552274.66158058611</v>
      </c>
      <c r="H107" s="218">
        <f t="shared" si="266"/>
        <v>316215.07642598217</v>
      </c>
      <c r="I107" s="218">
        <f t="shared" si="266"/>
        <v>355558.34061841643</v>
      </c>
      <c r="J107" s="218">
        <f t="shared" si="266"/>
        <v>470388.13319571805</v>
      </c>
      <c r="K107" s="218">
        <f t="shared" si="266"/>
        <v>473588.13319571805</v>
      </c>
      <c r="L107" s="218">
        <f t="shared" si="266"/>
        <v>316215.07642598217</v>
      </c>
      <c r="M107" s="218">
        <f t="shared" si="266"/>
        <v>434244.86900328426</v>
      </c>
      <c r="N107" s="218">
        <f t="shared" si="266"/>
        <v>355558.34061841643</v>
      </c>
      <c r="O107" s="218">
        <f t="shared" si="266"/>
        <v>316215.07642598217</v>
      </c>
      <c r="P107" s="219">
        <f t="shared" ref="P107" si="267">SUM(D107:O107)</f>
        <v>5069808.635462109</v>
      </c>
      <c r="Q107" s="219">
        <f t="shared" si="241"/>
        <v>422484.05295517575</v>
      </c>
      <c r="R107" s="218">
        <f t="shared" si="266"/>
        <v>335658.34061841643</v>
      </c>
      <c r="S107" s="218">
        <f t="shared" si="266"/>
        <v>670304.45415788796</v>
      </c>
      <c r="T107" s="218">
        <f t="shared" si="266"/>
        <v>473588.13319571805</v>
      </c>
      <c r="U107" s="218">
        <f t="shared" si="266"/>
        <v>552274.66158058611</v>
      </c>
      <c r="V107" s="218">
        <f t="shared" si="266"/>
        <v>316215.07642598217</v>
      </c>
      <c r="W107" s="218">
        <f t="shared" si="266"/>
        <v>355558.34061841643</v>
      </c>
      <c r="X107" s="218">
        <f t="shared" si="266"/>
        <v>470388.13319571805</v>
      </c>
      <c r="Y107" s="218">
        <f t="shared" si="266"/>
        <v>473588.13319571805</v>
      </c>
      <c r="Z107" s="218">
        <f t="shared" si="266"/>
        <v>316215.07642598217</v>
      </c>
      <c r="AA107" s="218">
        <f t="shared" si="266"/>
        <v>434244.86900328426</v>
      </c>
      <c r="AB107" s="218">
        <f t="shared" si="266"/>
        <v>355558.34061841643</v>
      </c>
      <c r="AC107" s="218">
        <f t="shared" si="266"/>
        <v>316215.07642598217</v>
      </c>
      <c r="AD107" s="219">
        <f t="shared" si="243"/>
        <v>5069808.635462109</v>
      </c>
      <c r="AE107" s="219">
        <f t="shared" si="244"/>
        <v>422484.05295517575</v>
      </c>
      <c r="AF107" s="218">
        <f t="shared" ref="AF107:AQ107" si="268">AF103-AF105</f>
        <v>335658.34061841643</v>
      </c>
      <c r="AG107" s="218">
        <f t="shared" si="268"/>
        <v>670304.45415788796</v>
      </c>
      <c r="AH107" s="218">
        <f t="shared" si="268"/>
        <v>473588.13319571805</v>
      </c>
      <c r="AI107" s="218">
        <f t="shared" si="268"/>
        <v>552274.66158058611</v>
      </c>
      <c r="AJ107" s="218">
        <f t="shared" si="268"/>
        <v>316215.07642598217</v>
      </c>
      <c r="AK107" s="218">
        <f t="shared" si="268"/>
        <v>355558.34061841643</v>
      </c>
      <c r="AL107" s="218">
        <f t="shared" si="268"/>
        <v>470388.13319571805</v>
      </c>
      <c r="AM107" s="218">
        <f t="shared" si="268"/>
        <v>473588.13319571805</v>
      </c>
      <c r="AN107" s="218">
        <f t="shared" si="268"/>
        <v>316215.07642598217</v>
      </c>
      <c r="AO107" s="218">
        <f t="shared" si="268"/>
        <v>434244.86900328426</v>
      </c>
      <c r="AP107" s="218">
        <f t="shared" si="268"/>
        <v>355558.34061841643</v>
      </c>
      <c r="AQ107" s="218">
        <f t="shared" si="268"/>
        <v>316215.07642598217</v>
      </c>
      <c r="AR107" s="219">
        <f t="shared" si="246"/>
        <v>5069808.635462109</v>
      </c>
      <c r="AS107" s="219">
        <f t="shared" si="247"/>
        <v>422484.05295517575</v>
      </c>
      <c r="AT107" s="222"/>
    </row>
    <row r="108" spans="1:46" s="29" customFormat="1" ht="11.25">
      <c r="A108" s="36" t="str">
        <f>"- Прибыль (убытки) накопительным итогом"</f>
        <v>- Прибыль (убытки) накопительным итогом</v>
      </c>
      <c r="B108" s="37" t="s">
        <v>105</v>
      </c>
      <c r="C108" s="37"/>
      <c r="D108" s="218">
        <f>D106+IF(ISNUMBER(B108),B108,0)</f>
        <v>-4122341.6593815838</v>
      </c>
      <c r="E108" s="218">
        <f t="shared" ref="E108:O108" si="269">E106+IF(ISNUMBER(D108),D108,0)</f>
        <v>-3452037.2052236958</v>
      </c>
      <c r="F108" s="218">
        <f t="shared" si="269"/>
        <v>-2978449.0720279776</v>
      </c>
      <c r="G108" s="218">
        <f t="shared" si="269"/>
        <v>-2426174.4104473917</v>
      </c>
      <c r="H108" s="218">
        <f t="shared" si="269"/>
        <v>-2109959.3340214095</v>
      </c>
      <c r="I108" s="218">
        <f t="shared" si="269"/>
        <v>-1754400.9934029931</v>
      </c>
      <c r="J108" s="218">
        <f t="shared" si="269"/>
        <v>-1284012.860207275</v>
      </c>
      <c r="K108" s="218">
        <f t="shared" si="269"/>
        <v>-810424.72701155697</v>
      </c>
      <c r="L108" s="218">
        <f t="shared" si="269"/>
        <v>-494209.6505855748</v>
      </c>
      <c r="M108" s="218">
        <f t="shared" si="269"/>
        <v>-59964.78158229054</v>
      </c>
      <c r="N108" s="218">
        <f t="shared" si="269"/>
        <v>295593.55903612589</v>
      </c>
      <c r="O108" s="218">
        <f t="shared" si="269"/>
        <v>611808.63546210807</v>
      </c>
      <c r="P108" s="219">
        <f>O108</f>
        <v>611808.63546210807</v>
      </c>
      <c r="Q108" s="219"/>
      <c r="R108" s="218">
        <f>R106+IF(ISNUMBER(O108),O108,0)</f>
        <v>947466.9760805245</v>
      </c>
      <c r="S108" s="218">
        <f t="shared" ref="S108" si="270">S106+IF(ISNUMBER(R108),R108,0)</f>
        <v>1617771.4302384125</v>
      </c>
      <c r="T108" s="218">
        <f t="shared" ref="T108" si="271">T106+IF(ISNUMBER(S108),S108,0)</f>
        <v>2091359.5634341305</v>
      </c>
      <c r="U108" s="218">
        <f t="shared" ref="U108" si="272">U106+IF(ISNUMBER(T108),T108,0)</f>
        <v>2643634.2250147164</v>
      </c>
      <c r="V108" s="218">
        <f t="shared" ref="V108" si="273">V106+IF(ISNUMBER(U108),U108,0)</f>
        <v>2959849.3014406986</v>
      </c>
      <c r="W108" s="218">
        <f t="shared" ref="W108" si="274">W106+IF(ISNUMBER(V108),V108,0)</f>
        <v>3315407.6420591148</v>
      </c>
      <c r="X108" s="218">
        <f t="shared" ref="X108" si="275">X106+IF(ISNUMBER(W108),W108,0)</f>
        <v>3785795.7752548326</v>
      </c>
      <c r="Y108" s="218">
        <f t="shared" ref="Y108" si="276">Y106+IF(ISNUMBER(X108),X108,0)</f>
        <v>4259383.9084505504</v>
      </c>
      <c r="Z108" s="218">
        <f t="shared" ref="Z108" si="277">Z106+IF(ISNUMBER(Y108),Y108,0)</f>
        <v>4575598.9848765321</v>
      </c>
      <c r="AA108" s="218">
        <f t="shared" ref="AA108" si="278">AA106+IF(ISNUMBER(Z108),Z108,0)</f>
        <v>5009843.8538798168</v>
      </c>
      <c r="AB108" s="218">
        <f t="shared" ref="AB108" si="279">AB106+IF(ISNUMBER(AA108),AA108,0)</f>
        <v>5365402.1944982335</v>
      </c>
      <c r="AC108" s="218">
        <f t="shared" ref="AC108" si="280">AC106+IF(ISNUMBER(AB108),AB108,0)</f>
        <v>5681617.2709242161</v>
      </c>
      <c r="AD108" s="219">
        <f>AC108</f>
        <v>5681617.2709242161</v>
      </c>
      <c r="AE108" s="219"/>
      <c r="AF108" s="218">
        <f>AF106+IF(ISNUMBER(AC108),AC108,0)</f>
        <v>6017275.6115426328</v>
      </c>
      <c r="AG108" s="218">
        <f t="shared" ref="AG108" si="281">AG106+IF(ISNUMBER(AF108),AF108,0)</f>
        <v>6687580.0657005208</v>
      </c>
      <c r="AH108" s="218">
        <f t="shared" ref="AH108" si="282">AH106+IF(ISNUMBER(AG108),AG108,0)</f>
        <v>7161168.1988962386</v>
      </c>
      <c r="AI108" s="218">
        <f t="shared" ref="AI108" si="283">AI106+IF(ISNUMBER(AH108),AH108,0)</f>
        <v>7713442.8604768245</v>
      </c>
      <c r="AJ108" s="218">
        <f t="shared" ref="AJ108" si="284">AJ106+IF(ISNUMBER(AI108),AI108,0)</f>
        <v>8029657.9369028062</v>
      </c>
      <c r="AK108" s="218">
        <f t="shared" ref="AK108" si="285">AK106+IF(ISNUMBER(AJ108),AJ108,0)</f>
        <v>8385216.2775212228</v>
      </c>
      <c r="AL108" s="218">
        <f t="shared" ref="AL108" si="286">AL106+IF(ISNUMBER(AK108),AK108,0)</f>
        <v>8855604.4107169416</v>
      </c>
      <c r="AM108" s="218">
        <f t="shared" ref="AM108" si="287">AM106+IF(ISNUMBER(AL108),AL108,0)</f>
        <v>9329192.5439126603</v>
      </c>
      <c r="AN108" s="218">
        <f t="shared" ref="AN108" si="288">AN106+IF(ISNUMBER(AM108),AM108,0)</f>
        <v>9645407.620338643</v>
      </c>
      <c r="AO108" s="218">
        <f t="shared" ref="AO108" si="289">AO106+IF(ISNUMBER(AN108),AN108,0)</f>
        <v>10079652.489341928</v>
      </c>
      <c r="AP108" s="218">
        <f t="shared" ref="AP108" si="290">AP106+IF(ISNUMBER(AO108),AO108,0)</f>
        <v>10435210.829960344</v>
      </c>
      <c r="AQ108" s="218">
        <f t="shared" ref="AQ108" si="291">AQ106+IF(ISNUMBER(AP108),AP108,0)</f>
        <v>10751425.906386327</v>
      </c>
      <c r="AR108" s="219">
        <f>AQ108</f>
        <v>10751425.906386327</v>
      </c>
      <c r="AS108" s="219"/>
      <c r="AT108" s="222"/>
    </row>
    <row r="109" spans="1:46" s="29" customFormat="1" ht="11.25">
      <c r="A109" s="65"/>
      <c r="B109" s="66"/>
      <c r="C109" s="66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190"/>
      <c r="Q109" s="190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190"/>
      <c r="AE109" s="190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190"/>
      <c r="AS109" s="190"/>
      <c r="AT109" s="65"/>
    </row>
    <row r="110" spans="1:46" s="29" customFormat="1" ht="12" thickBot="1">
      <c r="P110" s="82"/>
      <c r="Q110" s="82"/>
      <c r="AD110" s="82"/>
      <c r="AE110" s="82"/>
      <c r="AR110" s="82"/>
      <c r="AS110" s="82"/>
    </row>
    <row r="111" spans="1:46" s="29" customFormat="1" ht="24" thickTop="1" thickBot="1">
      <c r="A111" s="27" t="s">
        <v>27</v>
      </c>
      <c r="B111" s="28"/>
      <c r="C111" s="28"/>
      <c r="D111" s="28" t="str">
        <f t="shared" ref="D111:O111" si="292">D$6</f>
        <v>сентябрь</v>
      </c>
      <c r="E111" s="28" t="str">
        <f t="shared" si="292"/>
        <v>октябрь</v>
      </c>
      <c r="F111" s="28" t="str">
        <f t="shared" si="292"/>
        <v>ноябрь</v>
      </c>
      <c r="G111" s="28" t="str">
        <f t="shared" si="292"/>
        <v>декабрь</v>
      </c>
      <c r="H111" s="28" t="str">
        <f t="shared" si="292"/>
        <v>январь</v>
      </c>
      <c r="I111" s="28" t="str">
        <f t="shared" si="292"/>
        <v>февраль</v>
      </c>
      <c r="J111" s="28" t="str">
        <f t="shared" si="292"/>
        <v>март</v>
      </c>
      <c r="K111" s="28" t="str">
        <f t="shared" si="292"/>
        <v>апрель</v>
      </c>
      <c r="L111" s="28" t="str">
        <f t="shared" si="292"/>
        <v>май</v>
      </c>
      <c r="M111" s="28" t="str">
        <f t="shared" si="292"/>
        <v>июнь</v>
      </c>
      <c r="N111" s="28" t="str">
        <f t="shared" si="292"/>
        <v>июль</v>
      </c>
      <c r="O111" s="28" t="str">
        <f t="shared" si="292"/>
        <v>август</v>
      </c>
      <c r="P111" s="186" t="str">
        <f>P99</f>
        <v>Итого за 1-й год</v>
      </c>
      <c r="Q111" s="186" t="str">
        <f>Q99</f>
        <v>Среднемесячно за 1-й год</v>
      </c>
      <c r="R111" s="28" t="str">
        <f t="shared" ref="R111:AC111" si="293">R$6</f>
        <v>сентябрь</v>
      </c>
      <c r="S111" s="28" t="str">
        <f t="shared" si="293"/>
        <v>октябрь</v>
      </c>
      <c r="T111" s="28" t="str">
        <f t="shared" si="293"/>
        <v>ноябрь</v>
      </c>
      <c r="U111" s="28" t="str">
        <f t="shared" si="293"/>
        <v>декабрь</v>
      </c>
      <c r="V111" s="28" t="str">
        <f t="shared" si="293"/>
        <v>январь</v>
      </c>
      <c r="W111" s="28" t="str">
        <f t="shared" si="293"/>
        <v>февраль</v>
      </c>
      <c r="X111" s="28" t="str">
        <f t="shared" si="293"/>
        <v>март</v>
      </c>
      <c r="Y111" s="28" t="str">
        <f t="shared" si="293"/>
        <v>апрель</v>
      </c>
      <c r="Z111" s="28" t="str">
        <f t="shared" si="293"/>
        <v>май</v>
      </c>
      <c r="AA111" s="28" t="str">
        <f t="shared" si="293"/>
        <v>июнь</v>
      </c>
      <c r="AB111" s="28" t="str">
        <f t="shared" si="293"/>
        <v>июль</v>
      </c>
      <c r="AC111" s="28" t="str">
        <f t="shared" si="293"/>
        <v>август</v>
      </c>
      <c r="AD111" s="186" t="str">
        <f>AD99</f>
        <v>Итого за 2-й год</v>
      </c>
      <c r="AE111" s="186" t="str">
        <f>AE99</f>
        <v>Среднемесячно за 2-й год</v>
      </c>
      <c r="AF111" s="28" t="str">
        <f t="shared" ref="AF111:AQ111" si="294">AF$6</f>
        <v>сентябрь</v>
      </c>
      <c r="AG111" s="28" t="str">
        <f t="shared" si="294"/>
        <v>октябрь</v>
      </c>
      <c r="AH111" s="28" t="str">
        <f t="shared" si="294"/>
        <v>ноябрь</v>
      </c>
      <c r="AI111" s="28" t="str">
        <f t="shared" si="294"/>
        <v>декабрь</v>
      </c>
      <c r="AJ111" s="28" t="str">
        <f t="shared" si="294"/>
        <v>январь</v>
      </c>
      <c r="AK111" s="28" t="str">
        <f t="shared" si="294"/>
        <v>февраль</v>
      </c>
      <c r="AL111" s="28" t="str">
        <f t="shared" si="294"/>
        <v>март</v>
      </c>
      <c r="AM111" s="28" t="str">
        <f t="shared" si="294"/>
        <v>апрель</v>
      </c>
      <c r="AN111" s="28" t="str">
        <f t="shared" si="294"/>
        <v>май</v>
      </c>
      <c r="AO111" s="28" t="str">
        <f t="shared" si="294"/>
        <v>июнь</v>
      </c>
      <c r="AP111" s="28" t="str">
        <f t="shared" si="294"/>
        <v>июль</v>
      </c>
      <c r="AQ111" s="28" t="str">
        <f t="shared" si="294"/>
        <v>август</v>
      </c>
      <c r="AR111" s="186" t="str">
        <f>AR99</f>
        <v>Итого за 3-й год</v>
      </c>
      <c r="AS111" s="186" t="str">
        <f>AS99</f>
        <v>Среднемесячно за 3-й год</v>
      </c>
      <c r="AT111" s="196" t="str">
        <f>AT99</f>
        <v>Итого за три года</v>
      </c>
    </row>
    <row r="112" spans="1:46" s="29" customFormat="1" ht="12" thickTop="1">
      <c r="A112" s="30"/>
      <c r="B112" s="63"/>
      <c r="C112" s="63"/>
      <c r="D112" s="31"/>
      <c r="E112" s="31"/>
      <c r="F112" s="31"/>
      <c r="G112" s="31"/>
      <c r="H112" s="31"/>
      <c r="I112" s="31"/>
      <c r="J112" s="31"/>
      <c r="K112" s="31"/>
      <c r="P112" s="82"/>
      <c r="Q112" s="82"/>
      <c r="R112" s="31"/>
      <c r="S112" s="31"/>
      <c r="T112" s="31"/>
      <c r="U112" s="31"/>
      <c r="V112" s="31"/>
      <c r="W112" s="31"/>
      <c r="X112" s="31"/>
      <c r="Y112" s="31"/>
      <c r="AD112" s="82"/>
      <c r="AE112" s="82"/>
      <c r="AF112" s="31"/>
      <c r="AG112" s="31"/>
      <c r="AH112" s="31"/>
      <c r="AI112" s="31"/>
      <c r="AJ112" s="31"/>
      <c r="AK112" s="31"/>
      <c r="AL112" s="31"/>
      <c r="AM112" s="31"/>
      <c r="AR112" s="82"/>
      <c r="AS112" s="82"/>
    </row>
    <row r="113" spans="1:47" s="48" customFormat="1" ht="11.25">
      <c r="A113" s="68" t="s">
        <v>28</v>
      </c>
      <c r="B113" s="37" t="s">
        <v>105</v>
      </c>
      <c r="C113" s="37"/>
      <c r="D113" s="49">
        <f t="shared" ref="D113:O113" si="295">D101</f>
        <v>1703043.9320388352</v>
      </c>
      <c r="E113" s="49">
        <f t="shared" si="295"/>
        <v>2270725.2427184465</v>
      </c>
      <c r="F113" s="49">
        <f t="shared" si="295"/>
        <v>1915924.4235436891</v>
      </c>
      <c r="G113" s="49">
        <f t="shared" si="295"/>
        <v>2057844.7512135922</v>
      </c>
      <c r="H113" s="49">
        <f t="shared" si="295"/>
        <v>1632083.7682038837</v>
      </c>
      <c r="I113" s="49">
        <f t="shared" si="295"/>
        <v>1703043.9320388352</v>
      </c>
      <c r="J113" s="49">
        <f t="shared" si="295"/>
        <v>1915924.4235436891</v>
      </c>
      <c r="K113" s="49">
        <f t="shared" si="295"/>
        <v>1915924.4235436891</v>
      </c>
      <c r="L113" s="49">
        <f t="shared" si="295"/>
        <v>1632083.7682038837</v>
      </c>
      <c r="M113" s="49">
        <f t="shared" si="295"/>
        <v>1844964.259708738</v>
      </c>
      <c r="N113" s="49">
        <f t="shared" si="295"/>
        <v>1703043.9320388352</v>
      </c>
      <c r="O113" s="49">
        <f t="shared" si="295"/>
        <v>1632083.7682038837</v>
      </c>
      <c r="P113" s="79">
        <f t="shared" ref="P113" si="296">SUM(D113:O113)</f>
        <v>21926690.625000007</v>
      </c>
      <c r="Q113" s="79">
        <f t="shared" ref="Q113:Q115" si="297">P113/12</f>
        <v>1827224.2187500007</v>
      </c>
      <c r="R113" s="49">
        <f t="shared" ref="R113:AC113" si="298">R101</f>
        <v>1703043.9320388352</v>
      </c>
      <c r="S113" s="49">
        <f t="shared" si="298"/>
        <v>2270725.2427184465</v>
      </c>
      <c r="T113" s="49">
        <f t="shared" si="298"/>
        <v>1915924.4235436891</v>
      </c>
      <c r="U113" s="49">
        <f t="shared" si="298"/>
        <v>2057844.7512135922</v>
      </c>
      <c r="V113" s="49">
        <f t="shared" si="298"/>
        <v>1632083.7682038837</v>
      </c>
      <c r="W113" s="49">
        <f t="shared" si="298"/>
        <v>1703043.9320388352</v>
      </c>
      <c r="X113" s="49">
        <f t="shared" si="298"/>
        <v>1915924.4235436891</v>
      </c>
      <c r="Y113" s="49">
        <f t="shared" si="298"/>
        <v>1915924.4235436891</v>
      </c>
      <c r="Z113" s="49">
        <f t="shared" si="298"/>
        <v>1632083.7682038837</v>
      </c>
      <c r="AA113" s="49">
        <f t="shared" si="298"/>
        <v>1844964.259708738</v>
      </c>
      <c r="AB113" s="49">
        <f t="shared" si="298"/>
        <v>1703043.9320388352</v>
      </c>
      <c r="AC113" s="49">
        <f t="shared" si="298"/>
        <v>1632083.7682038837</v>
      </c>
      <c r="AD113" s="79">
        <f t="shared" ref="AD113:AD117" si="299">SUM(R113:AC113)</f>
        <v>21926690.625000007</v>
      </c>
      <c r="AE113" s="79">
        <f t="shared" ref="AE113:AE115" si="300">AD113/12</f>
        <v>1827224.2187500007</v>
      </c>
      <c r="AF113" s="49">
        <f t="shared" ref="AF113:AQ113" si="301">AF101</f>
        <v>1703043.9320388352</v>
      </c>
      <c r="AG113" s="49">
        <f t="shared" si="301"/>
        <v>2270725.2427184465</v>
      </c>
      <c r="AH113" s="49">
        <f t="shared" si="301"/>
        <v>1915924.4235436891</v>
      </c>
      <c r="AI113" s="49">
        <f t="shared" si="301"/>
        <v>2057844.7512135922</v>
      </c>
      <c r="AJ113" s="49">
        <f t="shared" si="301"/>
        <v>1632083.7682038837</v>
      </c>
      <c r="AK113" s="49">
        <f t="shared" si="301"/>
        <v>1703043.9320388352</v>
      </c>
      <c r="AL113" s="49">
        <f t="shared" si="301"/>
        <v>1915924.4235436891</v>
      </c>
      <c r="AM113" s="49">
        <f t="shared" si="301"/>
        <v>1915924.4235436891</v>
      </c>
      <c r="AN113" s="49">
        <f t="shared" si="301"/>
        <v>1632083.7682038837</v>
      </c>
      <c r="AO113" s="49">
        <f t="shared" si="301"/>
        <v>1844964.259708738</v>
      </c>
      <c r="AP113" s="49">
        <f t="shared" si="301"/>
        <v>1703043.9320388352</v>
      </c>
      <c r="AQ113" s="49">
        <f t="shared" si="301"/>
        <v>1632083.7682038837</v>
      </c>
      <c r="AR113" s="79">
        <f t="shared" ref="AR113:AR117" si="302">SUM(AF113:AQ113)</f>
        <v>21926690.625000007</v>
      </c>
      <c r="AS113" s="79">
        <f t="shared" ref="AS113:AS115" si="303">AR113/12</f>
        <v>1827224.2187500007</v>
      </c>
      <c r="AT113" s="213">
        <f>P113+AD113+AR113</f>
        <v>65780071.875000022</v>
      </c>
    </row>
    <row r="114" spans="1:47" s="48" customFormat="1" ht="11.25">
      <c r="A114" s="68" t="s">
        <v>6</v>
      </c>
      <c r="B114" s="37" t="s">
        <v>105</v>
      </c>
      <c r="C114" s="37"/>
      <c r="D114" s="214">
        <f t="shared" ref="D114:O114" si="304">-(D96+D55)</f>
        <v>-1367385.5914204188</v>
      </c>
      <c r="E114" s="214">
        <f t="shared" si="304"/>
        <v>-1600420.7885605586</v>
      </c>
      <c r="F114" s="214">
        <f t="shared" si="304"/>
        <v>-1442336.290347971</v>
      </c>
      <c r="G114" s="214">
        <f t="shared" si="304"/>
        <v>-1505570.0896330061</v>
      </c>
      <c r="H114" s="214">
        <f t="shared" si="304"/>
        <v>-1315868.6917779015</v>
      </c>
      <c r="I114" s="214">
        <f t="shared" si="304"/>
        <v>-1347485.5914204188</v>
      </c>
      <c r="J114" s="214">
        <f t="shared" si="304"/>
        <v>-1445536.290347971</v>
      </c>
      <c r="K114" s="214">
        <f t="shared" si="304"/>
        <v>-1442336.290347971</v>
      </c>
      <c r="L114" s="214">
        <f t="shared" si="304"/>
        <v>-1315868.6917779015</v>
      </c>
      <c r="M114" s="214">
        <f t="shared" si="304"/>
        <v>-1410719.3907054537</v>
      </c>
      <c r="N114" s="214">
        <f t="shared" si="304"/>
        <v>-1347485.5914204188</v>
      </c>
      <c r="O114" s="214">
        <f t="shared" si="304"/>
        <v>-1315868.6917779015</v>
      </c>
      <c r="P114" s="79">
        <f t="shared" ref="P114:P116" si="305">SUM(D114:O114)</f>
        <v>-16856881.989537895</v>
      </c>
      <c r="Q114" s="79">
        <f t="shared" si="297"/>
        <v>-1404740.1657948245</v>
      </c>
      <c r="R114" s="214">
        <f t="shared" ref="R114:AC114" si="306">-(R96+R55)</f>
        <v>-1367385.5914204188</v>
      </c>
      <c r="S114" s="214">
        <f t="shared" si="306"/>
        <v>-1600420.7885605586</v>
      </c>
      <c r="T114" s="214">
        <f t="shared" si="306"/>
        <v>-1442336.290347971</v>
      </c>
      <c r="U114" s="214">
        <f t="shared" si="306"/>
        <v>-1505570.0896330061</v>
      </c>
      <c r="V114" s="214">
        <f t="shared" si="306"/>
        <v>-1315868.6917779015</v>
      </c>
      <c r="W114" s="214">
        <f t="shared" si="306"/>
        <v>-1347485.5914204188</v>
      </c>
      <c r="X114" s="214">
        <f t="shared" si="306"/>
        <v>-1445536.290347971</v>
      </c>
      <c r="Y114" s="214">
        <f t="shared" si="306"/>
        <v>-1442336.290347971</v>
      </c>
      <c r="Z114" s="214">
        <f t="shared" si="306"/>
        <v>-1315868.6917779015</v>
      </c>
      <c r="AA114" s="214">
        <f t="shared" si="306"/>
        <v>-1410719.3907054537</v>
      </c>
      <c r="AB114" s="214">
        <f t="shared" si="306"/>
        <v>-1347485.5914204188</v>
      </c>
      <c r="AC114" s="214">
        <f t="shared" si="306"/>
        <v>-1315868.6917779015</v>
      </c>
      <c r="AD114" s="79">
        <f t="shared" si="299"/>
        <v>-16856881.989537895</v>
      </c>
      <c r="AE114" s="79">
        <f t="shared" si="300"/>
        <v>-1404740.1657948245</v>
      </c>
      <c r="AF114" s="214">
        <f t="shared" ref="AF114:AQ114" si="307">-(AF96+AF55)</f>
        <v>-1367385.5914204188</v>
      </c>
      <c r="AG114" s="214">
        <f t="shared" si="307"/>
        <v>-1600420.7885605586</v>
      </c>
      <c r="AH114" s="214">
        <f t="shared" si="307"/>
        <v>-1442336.290347971</v>
      </c>
      <c r="AI114" s="214">
        <f t="shared" si="307"/>
        <v>-1505570.0896330061</v>
      </c>
      <c r="AJ114" s="214">
        <f t="shared" si="307"/>
        <v>-1315868.6917779015</v>
      </c>
      <c r="AK114" s="214">
        <f t="shared" si="307"/>
        <v>-1347485.5914204188</v>
      </c>
      <c r="AL114" s="214">
        <f t="shared" si="307"/>
        <v>-1445536.290347971</v>
      </c>
      <c r="AM114" s="214">
        <f t="shared" si="307"/>
        <v>-1442336.290347971</v>
      </c>
      <c r="AN114" s="214">
        <f t="shared" si="307"/>
        <v>-1315868.6917779015</v>
      </c>
      <c r="AO114" s="214">
        <f t="shared" si="307"/>
        <v>-1410719.3907054537</v>
      </c>
      <c r="AP114" s="214">
        <f t="shared" si="307"/>
        <v>-1347485.5914204188</v>
      </c>
      <c r="AQ114" s="214">
        <f t="shared" si="307"/>
        <v>-1315868.6917779015</v>
      </c>
      <c r="AR114" s="79">
        <f t="shared" si="302"/>
        <v>-16856881.989537895</v>
      </c>
      <c r="AS114" s="79">
        <f t="shared" si="303"/>
        <v>-1404740.1657948245</v>
      </c>
      <c r="AT114" s="213">
        <f t="shared" ref="AT114:AT117" si="308">P114+AD114+AR114</f>
        <v>-50570645.968613684</v>
      </c>
    </row>
    <row r="115" spans="1:47" s="48" customFormat="1" ht="11.25">
      <c r="A115" s="68" t="s">
        <v>29</v>
      </c>
      <c r="B115" s="37" t="s">
        <v>105</v>
      </c>
      <c r="C115" s="37"/>
      <c r="D115" s="214">
        <f t="shared" ref="D115:O115" si="309">SUM(D113:D114)</f>
        <v>335658.34061841643</v>
      </c>
      <c r="E115" s="49">
        <f t="shared" si="309"/>
        <v>670304.45415788796</v>
      </c>
      <c r="F115" s="49">
        <f t="shared" si="309"/>
        <v>473588.13319571805</v>
      </c>
      <c r="G115" s="49">
        <f t="shared" si="309"/>
        <v>552274.66158058611</v>
      </c>
      <c r="H115" s="49">
        <f t="shared" si="309"/>
        <v>316215.07642598217</v>
      </c>
      <c r="I115" s="49">
        <f t="shared" si="309"/>
        <v>355558.34061841643</v>
      </c>
      <c r="J115" s="49">
        <f t="shared" si="309"/>
        <v>470388.13319571805</v>
      </c>
      <c r="K115" s="214">
        <f t="shared" si="309"/>
        <v>473588.13319571805</v>
      </c>
      <c r="L115" s="214">
        <f t="shared" si="309"/>
        <v>316215.07642598217</v>
      </c>
      <c r="M115" s="214">
        <f t="shared" si="309"/>
        <v>434244.86900328426</v>
      </c>
      <c r="N115" s="214">
        <f t="shared" si="309"/>
        <v>355558.34061841643</v>
      </c>
      <c r="O115" s="214">
        <f t="shared" si="309"/>
        <v>316215.07642598217</v>
      </c>
      <c r="P115" s="79">
        <f t="shared" si="305"/>
        <v>5069808.635462109</v>
      </c>
      <c r="Q115" s="79">
        <f t="shared" si="297"/>
        <v>422484.05295517575</v>
      </c>
      <c r="R115" s="214">
        <f t="shared" ref="R115:AC115" si="310">SUM(R113:R114)</f>
        <v>335658.34061841643</v>
      </c>
      <c r="S115" s="49">
        <f t="shared" si="310"/>
        <v>670304.45415788796</v>
      </c>
      <c r="T115" s="49">
        <f t="shared" si="310"/>
        <v>473588.13319571805</v>
      </c>
      <c r="U115" s="49">
        <f t="shared" si="310"/>
        <v>552274.66158058611</v>
      </c>
      <c r="V115" s="49">
        <f t="shared" si="310"/>
        <v>316215.07642598217</v>
      </c>
      <c r="W115" s="49">
        <f t="shared" si="310"/>
        <v>355558.34061841643</v>
      </c>
      <c r="X115" s="49">
        <f t="shared" si="310"/>
        <v>470388.13319571805</v>
      </c>
      <c r="Y115" s="214">
        <f t="shared" si="310"/>
        <v>473588.13319571805</v>
      </c>
      <c r="Z115" s="214">
        <f t="shared" si="310"/>
        <v>316215.07642598217</v>
      </c>
      <c r="AA115" s="214">
        <f t="shared" si="310"/>
        <v>434244.86900328426</v>
      </c>
      <c r="AB115" s="214">
        <f t="shared" si="310"/>
        <v>355558.34061841643</v>
      </c>
      <c r="AC115" s="214">
        <f t="shared" si="310"/>
        <v>316215.07642598217</v>
      </c>
      <c r="AD115" s="79">
        <f t="shared" si="299"/>
        <v>5069808.635462109</v>
      </c>
      <c r="AE115" s="79">
        <f t="shared" si="300"/>
        <v>422484.05295517575</v>
      </c>
      <c r="AF115" s="214">
        <f t="shared" ref="AF115:AQ115" si="311">SUM(AF113:AF114)</f>
        <v>335658.34061841643</v>
      </c>
      <c r="AG115" s="49">
        <f t="shared" si="311"/>
        <v>670304.45415788796</v>
      </c>
      <c r="AH115" s="49">
        <f t="shared" si="311"/>
        <v>473588.13319571805</v>
      </c>
      <c r="AI115" s="49">
        <f t="shared" si="311"/>
        <v>552274.66158058611</v>
      </c>
      <c r="AJ115" s="49">
        <f t="shared" si="311"/>
        <v>316215.07642598217</v>
      </c>
      <c r="AK115" s="49">
        <f t="shared" si="311"/>
        <v>355558.34061841643</v>
      </c>
      <c r="AL115" s="49">
        <f t="shared" si="311"/>
        <v>470388.13319571805</v>
      </c>
      <c r="AM115" s="214">
        <f t="shared" si="311"/>
        <v>473588.13319571805</v>
      </c>
      <c r="AN115" s="214">
        <f t="shared" si="311"/>
        <v>316215.07642598217</v>
      </c>
      <c r="AO115" s="214">
        <f t="shared" si="311"/>
        <v>434244.86900328426</v>
      </c>
      <c r="AP115" s="214">
        <f t="shared" si="311"/>
        <v>355558.34061841643</v>
      </c>
      <c r="AQ115" s="214">
        <f t="shared" si="311"/>
        <v>316215.07642598217</v>
      </c>
      <c r="AR115" s="79">
        <f t="shared" si="302"/>
        <v>5069808.635462109</v>
      </c>
      <c r="AS115" s="79">
        <f t="shared" si="303"/>
        <v>422484.05295517575</v>
      </c>
      <c r="AT115" s="213">
        <f t="shared" si="308"/>
        <v>15209425.906386327</v>
      </c>
    </row>
    <row r="116" spans="1:47" s="48" customFormat="1" ht="11.25">
      <c r="A116" s="68" t="s">
        <v>30</v>
      </c>
      <c r="B116" s="37" t="s">
        <v>105</v>
      </c>
      <c r="C116" s="37"/>
      <c r="D116" s="214">
        <f>-(D69)</f>
        <v>0</v>
      </c>
      <c r="E116" s="49">
        <v>0</v>
      </c>
      <c r="F116" s="49">
        <v>0</v>
      </c>
      <c r="G116" s="49">
        <v>0</v>
      </c>
      <c r="H116" s="49">
        <v>0</v>
      </c>
      <c r="I116" s="49">
        <v>0</v>
      </c>
      <c r="J116" s="49">
        <v>0</v>
      </c>
      <c r="K116" s="214">
        <v>0</v>
      </c>
      <c r="L116" s="214">
        <v>0</v>
      </c>
      <c r="M116" s="214">
        <v>0</v>
      </c>
      <c r="N116" s="214">
        <v>0</v>
      </c>
      <c r="O116" s="214">
        <v>0</v>
      </c>
      <c r="P116" s="79">
        <f t="shared" si="305"/>
        <v>0</v>
      </c>
      <c r="Q116" s="79"/>
      <c r="R116" s="214">
        <v>0</v>
      </c>
      <c r="S116" s="49">
        <v>0</v>
      </c>
      <c r="T116" s="49">
        <v>0</v>
      </c>
      <c r="U116" s="49">
        <v>0</v>
      </c>
      <c r="V116" s="49">
        <v>0</v>
      </c>
      <c r="W116" s="49">
        <v>0</v>
      </c>
      <c r="X116" s="49">
        <v>0</v>
      </c>
      <c r="Y116" s="214">
        <v>0</v>
      </c>
      <c r="Z116" s="214">
        <v>0</v>
      </c>
      <c r="AA116" s="214">
        <v>0</v>
      </c>
      <c r="AB116" s="214">
        <v>0</v>
      </c>
      <c r="AC116" s="214">
        <v>0</v>
      </c>
      <c r="AD116" s="79">
        <f t="shared" si="299"/>
        <v>0</v>
      </c>
      <c r="AE116" s="79"/>
      <c r="AF116" s="214">
        <v>0</v>
      </c>
      <c r="AG116" s="49">
        <v>0</v>
      </c>
      <c r="AH116" s="49">
        <v>0</v>
      </c>
      <c r="AI116" s="49">
        <v>0</v>
      </c>
      <c r="AJ116" s="49">
        <v>0</v>
      </c>
      <c r="AK116" s="49">
        <v>0</v>
      </c>
      <c r="AL116" s="49">
        <v>0</v>
      </c>
      <c r="AM116" s="214">
        <v>0</v>
      </c>
      <c r="AN116" s="214">
        <v>0</v>
      </c>
      <c r="AO116" s="214">
        <v>0</v>
      </c>
      <c r="AP116" s="214">
        <v>0</v>
      </c>
      <c r="AQ116" s="214">
        <v>0</v>
      </c>
      <c r="AR116" s="79">
        <f t="shared" si="302"/>
        <v>0</v>
      </c>
      <c r="AS116" s="79"/>
      <c r="AT116" s="213">
        <f t="shared" si="308"/>
        <v>0</v>
      </c>
    </row>
    <row r="117" spans="1:47" s="99" customFormat="1" ht="11.25">
      <c r="A117" s="98" t="s">
        <v>31</v>
      </c>
      <c r="B117" s="96" t="s">
        <v>105</v>
      </c>
      <c r="C117" s="96"/>
      <c r="D117" s="212">
        <f>-D116</f>
        <v>0</v>
      </c>
      <c r="E117" s="212">
        <v>0</v>
      </c>
      <c r="F117" s="212">
        <v>0</v>
      </c>
      <c r="G117" s="212">
        <v>0</v>
      </c>
      <c r="H117" s="212">
        <v>0</v>
      </c>
      <c r="I117" s="212">
        <v>0</v>
      </c>
      <c r="J117" s="212">
        <v>0</v>
      </c>
      <c r="K117" s="212">
        <v>0</v>
      </c>
      <c r="L117" s="212">
        <v>0</v>
      </c>
      <c r="M117" s="212">
        <v>0</v>
      </c>
      <c r="N117" s="212">
        <v>0</v>
      </c>
      <c r="O117" s="212">
        <v>0</v>
      </c>
      <c r="P117" s="79">
        <f t="shared" ref="P117" si="312">SUM(D117:O117)</f>
        <v>0</v>
      </c>
      <c r="Q117" s="79"/>
      <c r="R117" s="212">
        <v>0</v>
      </c>
      <c r="S117" s="212">
        <v>0</v>
      </c>
      <c r="T117" s="212">
        <v>0</v>
      </c>
      <c r="U117" s="212">
        <v>0</v>
      </c>
      <c r="V117" s="212">
        <v>0</v>
      </c>
      <c r="W117" s="212">
        <v>0</v>
      </c>
      <c r="X117" s="212">
        <v>0</v>
      </c>
      <c r="Y117" s="212">
        <v>0</v>
      </c>
      <c r="Z117" s="212">
        <v>0</v>
      </c>
      <c r="AA117" s="212">
        <v>0</v>
      </c>
      <c r="AB117" s="212">
        <v>0</v>
      </c>
      <c r="AC117" s="212">
        <v>0</v>
      </c>
      <c r="AD117" s="79">
        <f t="shared" si="299"/>
        <v>0</v>
      </c>
      <c r="AE117" s="79"/>
      <c r="AF117" s="212">
        <v>0</v>
      </c>
      <c r="AG117" s="212">
        <v>0</v>
      </c>
      <c r="AH117" s="212">
        <v>0</v>
      </c>
      <c r="AI117" s="212">
        <v>0</v>
      </c>
      <c r="AJ117" s="212">
        <v>0</v>
      </c>
      <c r="AK117" s="212">
        <v>0</v>
      </c>
      <c r="AL117" s="212">
        <v>0</v>
      </c>
      <c r="AM117" s="212">
        <v>0</v>
      </c>
      <c r="AN117" s="212">
        <v>0</v>
      </c>
      <c r="AO117" s="212">
        <v>0</v>
      </c>
      <c r="AP117" s="212">
        <v>0</v>
      </c>
      <c r="AQ117" s="212">
        <v>0</v>
      </c>
      <c r="AR117" s="79">
        <f t="shared" si="302"/>
        <v>0</v>
      </c>
      <c r="AS117" s="79"/>
      <c r="AT117" s="211">
        <f t="shared" si="308"/>
        <v>0</v>
      </c>
    </row>
    <row r="118" spans="1:47" s="48" customFormat="1" ht="11.25">
      <c r="A118" s="68" t="s">
        <v>32</v>
      </c>
      <c r="B118" s="37" t="s">
        <v>105</v>
      </c>
      <c r="C118" s="37"/>
      <c r="D118" s="214">
        <v>0</v>
      </c>
      <c r="E118" s="49">
        <f>D119</f>
        <v>335658.34061841643</v>
      </c>
      <c r="F118" s="49">
        <f t="shared" ref="F118:O118" si="313">E119</f>
        <v>1005962.7947763044</v>
      </c>
      <c r="G118" s="49">
        <f t="shared" si="313"/>
        <v>1479550.9279720224</v>
      </c>
      <c r="H118" s="49">
        <f t="shared" si="313"/>
        <v>2031825.5895526086</v>
      </c>
      <c r="I118" s="49">
        <f t="shared" si="313"/>
        <v>2348040.665978591</v>
      </c>
      <c r="J118" s="49">
        <f t="shared" si="313"/>
        <v>2703599.0065970076</v>
      </c>
      <c r="K118" s="214">
        <f t="shared" si="313"/>
        <v>3173987.1397927254</v>
      </c>
      <c r="L118" s="214">
        <f t="shared" si="313"/>
        <v>3647575.2729884433</v>
      </c>
      <c r="M118" s="214">
        <f t="shared" si="313"/>
        <v>3963790.3494144254</v>
      </c>
      <c r="N118" s="214">
        <f t="shared" si="313"/>
        <v>4398035.2184177097</v>
      </c>
      <c r="O118" s="214">
        <f t="shared" si="313"/>
        <v>4753593.5590361264</v>
      </c>
      <c r="P118" s="215">
        <f>D118</f>
        <v>0</v>
      </c>
      <c r="Q118" s="215"/>
      <c r="R118" s="214">
        <f>O119</f>
        <v>5069808.635462109</v>
      </c>
      <c r="S118" s="49">
        <f>R119</f>
        <v>5405466.9760805257</v>
      </c>
      <c r="T118" s="49">
        <f t="shared" ref="T118" si="314">S119</f>
        <v>6075771.4302384136</v>
      </c>
      <c r="U118" s="49">
        <f t="shared" ref="U118" si="315">T119</f>
        <v>6549359.5634341314</v>
      </c>
      <c r="V118" s="49">
        <f t="shared" ref="V118" si="316">U119</f>
        <v>7101634.2250147173</v>
      </c>
      <c r="W118" s="49">
        <f t="shared" ref="W118" si="317">V119</f>
        <v>7417849.301440699</v>
      </c>
      <c r="X118" s="49">
        <f t="shared" ref="X118" si="318">W119</f>
        <v>7773407.6420591157</v>
      </c>
      <c r="Y118" s="214">
        <f t="shared" ref="Y118" si="319">X119</f>
        <v>8243795.7752548335</v>
      </c>
      <c r="Z118" s="214">
        <f t="shared" ref="Z118" si="320">Y119</f>
        <v>8717383.9084505513</v>
      </c>
      <c r="AA118" s="214">
        <f t="shared" ref="AA118" si="321">Z119</f>
        <v>9033598.984876534</v>
      </c>
      <c r="AB118" s="214">
        <f t="shared" ref="AB118" si="322">AA119</f>
        <v>9467843.8538798187</v>
      </c>
      <c r="AC118" s="214">
        <f t="shared" ref="AC118" si="323">AB119</f>
        <v>9823402.1944982354</v>
      </c>
      <c r="AD118" s="215">
        <f>R118</f>
        <v>5069808.635462109</v>
      </c>
      <c r="AE118" s="215"/>
      <c r="AF118" s="214">
        <f>AC119</f>
        <v>10139617.270924218</v>
      </c>
      <c r="AG118" s="49">
        <f>AF119</f>
        <v>10475275.611542635</v>
      </c>
      <c r="AH118" s="49">
        <f t="shared" ref="AH118" si="324">AG119</f>
        <v>11145580.065700524</v>
      </c>
      <c r="AI118" s="49">
        <f t="shared" ref="AI118" si="325">AH119</f>
        <v>11619168.198896242</v>
      </c>
      <c r="AJ118" s="49">
        <f t="shared" ref="AJ118" si="326">AI119</f>
        <v>12171442.860476829</v>
      </c>
      <c r="AK118" s="49">
        <f t="shared" ref="AK118" si="327">AJ119</f>
        <v>12487657.936902812</v>
      </c>
      <c r="AL118" s="49">
        <f t="shared" ref="AL118" si="328">AK119</f>
        <v>12843216.277521228</v>
      </c>
      <c r="AM118" s="214">
        <f t="shared" ref="AM118" si="329">AL119</f>
        <v>13313604.410716947</v>
      </c>
      <c r="AN118" s="214">
        <f t="shared" ref="AN118" si="330">AM119</f>
        <v>13787192.543912666</v>
      </c>
      <c r="AO118" s="214">
        <f t="shared" ref="AO118" si="331">AN119</f>
        <v>14103407.620338649</v>
      </c>
      <c r="AP118" s="214">
        <f t="shared" ref="AP118" si="332">AO119</f>
        <v>14537652.489341933</v>
      </c>
      <c r="AQ118" s="214">
        <f t="shared" ref="AQ118" si="333">AP119</f>
        <v>14893210.82996035</v>
      </c>
      <c r="AR118" s="215">
        <f>AF118</f>
        <v>10139617.270924218</v>
      </c>
      <c r="AS118" s="215"/>
      <c r="AT118" s="213">
        <f>P118</f>
        <v>0</v>
      </c>
    </row>
    <row r="119" spans="1:47" s="48" customFormat="1" ht="11.25">
      <c r="A119" s="68" t="s">
        <v>33</v>
      </c>
      <c r="B119" s="37" t="s">
        <v>105</v>
      </c>
      <c r="C119" s="37"/>
      <c r="D119" s="214">
        <f>D115+D116+D117+D118</f>
        <v>335658.34061841643</v>
      </c>
      <c r="E119" s="49">
        <f>E115+E116+E117+E118</f>
        <v>1005962.7947763044</v>
      </c>
      <c r="F119" s="49">
        <f t="shared" ref="F119:O119" si="334">F115+F116+F117+F118</f>
        <v>1479550.9279720224</v>
      </c>
      <c r="G119" s="49">
        <f t="shared" si="334"/>
        <v>2031825.5895526086</v>
      </c>
      <c r="H119" s="49">
        <f t="shared" si="334"/>
        <v>2348040.665978591</v>
      </c>
      <c r="I119" s="49">
        <f t="shared" si="334"/>
        <v>2703599.0065970076</v>
      </c>
      <c r="J119" s="49">
        <f t="shared" si="334"/>
        <v>3173987.1397927254</v>
      </c>
      <c r="K119" s="214">
        <f t="shared" si="334"/>
        <v>3647575.2729884433</v>
      </c>
      <c r="L119" s="214">
        <f t="shared" si="334"/>
        <v>3963790.3494144254</v>
      </c>
      <c r="M119" s="214">
        <f t="shared" si="334"/>
        <v>4398035.2184177097</v>
      </c>
      <c r="N119" s="214">
        <f t="shared" si="334"/>
        <v>4753593.5590361264</v>
      </c>
      <c r="O119" s="214">
        <f t="shared" si="334"/>
        <v>5069808.635462109</v>
      </c>
      <c r="P119" s="215">
        <f>O119</f>
        <v>5069808.635462109</v>
      </c>
      <c r="Q119" s="215"/>
      <c r="R119" s="214">
        <f>R115+R116+R117+R118</f>
        <v>5405466.9760805257</v>
      </c>
      <c r="S119" s="49">
        <f>S115+S116+S117+S118</f>
        <v>6075771.4302384136</v>
      </c>
      <c r="T119" s="49">
        <f t="shared" ref="T119:AC119" si="335">T115+T116+T117+T118</f>
        <v>6549359.5634341314</v>
      </c>
      <c r="U119" s="49">
        <f t="shared" si="335"/>
        <v>7101634.2250147173</v>
      </c>
      <c r="V119" s="49">
        <f t="shared" si="335"/>
        <v>7417849.301440699</v>
      </c>
      <c r="W119" s="49">
        <f t="shared" si="335"/>
        <v>7773407.6420591157</v>
      </c>
      <c r="X119" s="49">
        <f t="shared" si="335"/>
        <v>8243795.7752548335</v>
      </c>
      <c r="Y119" s="214">
        <f t="shared" si="335"/>
        <v>8717383.9084505513</v>
      </c>
      <c r="Z119" s="214">
        <f t="shared" si="335"/>
        <v>9033598.984876534</v>
      </c>
      <c r="AA119" s="214">
        <f t="shared" si="335"/>
        <v>9467843.8538798187</v>
      </c>
      <c r="AB119" s="214">
        <f t="shared" si="335"/>
        <v>9823402.1944982354</v>
      </c>
      <c r="AC119" s="214">
        <f t="shared" si="335"/>
        <v>10139617.270924218</v>
      </c>
      <c r="AD119" s="215">
        <f>AC119</f>
        <v>10139617.270924218</v>
      </c>
      <c r="AE119" s="215"/>
      <c r="AF119" s="214">
        <f>AF115+AF116+AF117+AF118</f>
        <v>10475275.611542635</v>
      </c>
      <c r="AG119" s="49">
        <f>AG115+AG116+AG117+AG118</f>
        <v>11145580.065700524</v>
      </c>
      <c r="AH119" s="49">
        <f t="shared" ref="AH119:AQ119" si="336">AH115+AH116+AH117+AH118</f>
        <v>11619168.198896242</v>
      </c>
      <c r="AI119" s="49">
        <f t="shared" si="336"/>
        <v>12171442.860476829</v>
      </c>
      <c r="AJ119" s="49">
        <f t="shared" si="336"/>
        <v>12487657.936902812</v>
      </c>
      <c r="AK119" s="49">
        <f t="shared" si="336"/>
        <v>12843216.277521228</v>
      </c>
      <c r="AL119" s="49">
        <f t="shared" si="336"/>
        <v>13313604.410716947</v>
      </c>
      <c r="AM119" s="214">
        <f t="shared" si="336"/>
        <v>13787192.543912666</v>
      </c>
      <c r="AN119" s="214">
        <f t="shared" si="336"/>
        <v>14103407.620338649</v>
      </c>
      <c r="AO119" s="214">
        <f t="shared" si="336"/>
        <v>14537652.489341933</v>
      </c>
      <c r="AP119" s="214">
        <f t="shared" si="336"/>
        <v>14893210.82996035</v>
      </c>
      <c r="AQ119" s="214">
        <f t="shared" si="336"/>
        <v>15209425.906386333</v>
      </c>
      <c r="AR119" s="215">
        <f>AQ119</f>
        <v>15209425.906386333</v>
      </c>
      <c r="AS119" s="215"/>
      <c r="AT119" s="213">
        <f>AR119</f>
        <v>15209425.906386333</v>
      </c>
    </row>
    <row r="120" spans="1:47" s="48" customFormat="1" ht="11.25">
      <c r="A120" s="68"/>
      <c r="B120" s="37"/>
      <c r="C120" s="37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187"/>
      <c r="Q120" s="187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187"/>
      <c r="AE120" s="187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187"/>
      <c r="AS120" s="187"/>
      <c r="AT120" s="58"/>
      <c r="AU120" s="58"/>
    </row>
    <row r="121" spans="1:47" s="29" customFormat="1" ht="11.25">
      <c r="A121" s="65"/>
      <c r="B121" s="66"/>
      <c r="C121" s="66"/>
      <c r="D121" s="69"/>
      <c r="E121" s="69"/>
      <c r="F121" s="69"/>
      <c r="G121" s="69"/>
      <c r="H121" s="69"/>
      <c r="I121" s="69"/>
      <c r="J121" s="69"/>
      <c r="K121" s="65"/>
      <c r="L121" s="65"/>
      <c r="M121" s="65"/>
      <c r="N121" s="65"/>
      <c r="O121" s="65"/>
      <c r="P121" s="191"/>
      <c r="Q121" s="191"/>
      <c r="R121" s="69"/>
      <c r="S121" s="69"/>
      <c r="T121" s="69"/>
      <c r="U121" s="69"/>
      <c r="V121" s="69"/>
      <c r="W121" s="69"/>
      <c r="X121" s="69"/>
      <c r="Y121" s="65"/>
      <c r="Z121" s="65"/>
      <c r="AA121" s="65"/>
      <c r="AB121" s="65"/>
      <c r="AC121" s="65"/>
      <c r="AD121" s="191"/>
      <c r="AE121" s="191"/>
      <c r="AF121" s="69"/>
      <c r="AG121" s="69"/>
      <c r="AH121" s="69"/>
      <c r="AI121" s="69"/>
      <c r="AJ121" s="69"/>
      <c r="AK121" s="69"/>
      <c r="AL121" s="69"/>
      <c r="AM121" s="65"/>
      <c r="AN121" s="65"/>
      <c r="AO121" s="65"/>
      <c r="AP121" s="65"/>
      <c r="AQ121" s="65"/>
      <c r="AR121" s="191"/>
      <c r="AS121" s="191"/>
      <c r="AT121" s="65"/>
    </row>
    <row r="122" spans="1:47" s="29" customFormat="1" ht="12" thickBot="1">
      <c r="P122" s="82"/>
      <c r="Q122" s="82"/>
      <c r="AD122" s="82"/>
      <c r="AE122" s="82"/>
      <c r="AR122" s="82"/>
      <c r="AS122" s="82"/>
    </row>
    <row r="123" spans="1:47" s="29" customFormat="1" thickTop="1" thickBot="1">
      <c r="A123" s="27" t="s">
        <v>34</v>
      </c>
      <c r="B123" s="28"/>
      <c r="C123" s="28"/>
      <c r="D123" s="28" t="str">
        <f t="shared" ref="D123:AQ123" si="337">D$6</f>
        <v>сентябрь</v>
      </c>
      <c r="E123" s="28" t="str">
        <f t="shared" si="337"/>
        <v>октябрь</v>
      </c>
      <c r="F123" s="28" t="str">
        <f t="shared" si="337"/>
        <v>ноябрь</v>
      </c>
      <c r="G123" s="28" t="str">
        <f t="shared" si="337"/>
        <v>декабрь</v>
      </c>
      <c r="H123" s="28" t="str">
        <f t="shared" si="337"/>
        <v>январь</v>
      </c>
      <c r="I123" s="28" t="str">
        <f t="shared" si="337"/>
        <v>февраль</v>
      </c>
      <c r="J123" s="28" t="str">
        <f t="shared" si="337"/>
        <v>март</v>
      </c>
      <c r="K123" s="28" t="str">
        <f t="shared" si="337"/>
        <v>апрель</v>
      </c>
      <c r="L123" s="28" t="str">
        <f t="shared" si="337"/>
        <v>май</v>
      </c>
      <c r="M123" s="28" t="str">
        <f t="shared" si="337"/>
        <v>июнь</v>
      </c>
      <c r="N123" s="28" t="str">
        <f t="shared" si="337"/>
        <v>июль</v>
      </c>
      <c r="O123" s="28" t="str">
        <f t="shared" si="337"/>
        <v>август</v>
      </c>
      <c r="P123" s="192"/>
      <c r="Q123" s="192"/>
      <c r="R123" s="28" t="str">
        <f t="shared" si="337"/>
        <v>сентябрь</v>
      </c>
      <c r="S123" s="28" t="str">
        <f t="shared" si="337"/>
        <v>октябрь</v>
      </c>
      <c r="T123" s="28" t="str">
        <f t="shared" si="337"/>
        <v>ноябрь</v>
      </c>
      <c r="U123" s="28" t="str">
        <f t="shared" si="337"/>
        <v>декабрь</v>
      </c>
      <c r="V123" s="28" t="str">
        <f t="shared" si="337"/>
        <v>январь</v>
      </c>
      <c r="W123" s="28" t="str">
        <f t="shared" si="337"/>
        <v>февраль</v>
      </c>
      <c r="X123" s="28" t="str">
        <f t="shared" si="337"/>
        <v>март</v>
      </c>
      <c r="Y123" s="28" t="str">
        <f t="shared" si="337"/>
        <v>апрель</v>
      </c>
      <c r="Z123" s="28" t="str">
        <f t="shared" si="337"/>
        <v>май</v>
      </c>
      <c r="AA123" s="28" t="str">
        <f t="shared" si="337"/>
        <v>июнь</v>
      </c>
      <c r="AB123" s="28" t="str">
        <f t="shared" si="337"/>
        <v>июль</v>
      </c>
      <c r="AC123" s="28" t="str">
        <f t="shared" si="337"/>
        <v>август</v>
      </c>
      <c r="AD123" s="192"/>
      <c r="AE123" s="192"/>
      <c r="AF123" s="28" t="str">
        <f t="shared" si="337"/>
        <v>сентябрь</v>
      </c>
      <c r="AG123" s="28" t="str">
        <f t="shared" si="337"/>
        <v>октябрь</v>
      </c>
      <c r="AH123" s="28" t="str">
        <f t="shared" si="337"/>
        <v>ноябрь</v>
      </c>
      <c r="AI123" s="28" t="str">
        <f t="shared" si="337"/>
        <v>декабрь</v>
      </c>
      <c r="AJ123" s="28" t="str">
        <f t="shared" si="337"/>
        <v>январь</v>
      </c>
      <c r="AK123" s="28" t="str">
        <f t="shared" si="337"/>
        <v>февраль</v>
      </c>
      <c r="AL123" s="28" t="str">
        <f t="shared" si="337"/>
        <v>март</v>
      </c>
      <c r="AM123" s="28" t="str">
        <f t="shared" si="337"/>
        <v>апрель</v>
      </c>
      <c r="AN123" s="28" t="str">
        <f t="shared" si="337"/>
        <v>май</v>
      </c>
      <c r="AO123" s="28" t="str">
        <f t="shared" si="337"/>
        <v>июнь</v>
      </c>
      <c r="AP123" s="28" t="str">
        <f t="shared" si="337"/>
        <v>июль</v>
      </c>
      <c r="AQ123" s="28" t="str">
        <f t="shared" si="337"/>
        <v>август</v>
      </c>
      <c r="AR123" s="192"/>
      <c r="AS123" s="192"/>
      <c r="AT123" s="28"/>
    </row>
    <row r="124" spans="1:47" s="29" customFormat="1" ht="15" thickTop="1">
      <c r="A124" s="70"/>
      <c r="B124" s="71"/>
      <c r="C124" s="71"/>
      <c r="D124" s="70"/>
      <c r="E124" s="70"/>
      <c r="F124" s="70"/>
      <c r="G124" s="70"/>
      <c r="H124" s="70"/>
      <c r="I124" s="70"/>
      <c r="J124" s="72"/>
      <c r="P124" s="82"/>
      <c r="Q124" s="82"/>
      <c r="R124" s="70"/>
      <c r="S124" s="70"/>
      <c r="T124" s="70"/>
      <c r="U124" s="70"/>
      <c r="V124" s="70"/>
      <c r="W124" s="70"/>
      <c r="X124" s="72"/>
      <c r="AD124" s="82"/>
      <c r="AE124" s="82"/>
      <c r="AF124" s="70"/>
      <c r="AG124" s="70"/>
      <c r="AH124" s="70"/>
      <c r="AI124" s="70"/>
      <c r="AJ124" s="70"/>
      <c r="AK124" s="70"/>
      <c r="AL124" s="72"/>
      <c r="AR124" s="82"/>
      <c r="AS124" s="82"/>
      <c r="AT124" s="73"/>
    </row>
    <row r="125" spans="1:47" s="75" customFormat="1" ht="11.25">
      <c r="A125" s="74" t="s">
        <v>35</v>
      </c>
      <c r="B125" s="76"/>
      <c r="C125" s="76"/>
      <c r="D125" s="76">
        <v>1</v>
      </c>
      <c r="E125" s="76">
        <v>1</v>
      </c>
      <c r="F125" s="76">
        <v>1</v>
      </c>
      <c r="G125" s="76">
        <v>1</v>
      </c>
      <c r="H125" s="76">
        <v>1</v>
      </c>
      <c r="I125" s="76">
        <v>1</v>
      </c>
      <c r="J125" s="76">
        <v>1</v>
      </c>
      <c r="K125" s="76">
        <v>1</v>
      </c>
      <c r="L125" s="76">
        <v>1</v>
      </c>
      <c r="M125" s="76">
        <v>1</v>
      </c>
      <c r="N125" s="76">
        <v>1</v>
      </c>
      <c r="O125" s="76">
        <v>1</v>
      </c>
      <c r="P125" s="193"/>
      <c r="Q125" s="193"/>
      <c r="R125" s="76">
        <v>1</v>
      </c>
      <c r="S125" s="76">
        <v>1</v>
      </c>
      <c r="T125" s="76">
        <v>1</v>
      </c>
      <c r="U125" s="76">
        <v>1</v>
      </c>
      <c r="V125" s="76">
        <v>1</v>
      </c>
      <c r="W125" s="76">
        <v>1</v>
      </c>
      <c r="X125" s="76">
        <v>1</v>
      </c>
      <c r="Y125" s="76">
        <v>1</v>
      </c>
      <c r="Z125" s="76">
        <v>1</v>
      </c>
      <c r="AA125" s="76">
        <v>1</v>
      </c>
      <c r="AB125" s="76">
        <v>1</v>
      </c>
      <c r="AC125" s="76">
        <v>1</v>
      </c>
      <c r="AD125" s="193"/>
      <c r="AE125" s="193"/>
      <c r="AF125" s="76">
        <v>1</v>
      </c>
      <c r="AG125" s="76">
        <v>1</v>
      </c>
      <c r="AH125" s="76">
        <v>1</v>
      </c>
      <c r="AI125" s="76">
        <v>1</v>
      </c>
      <c r="AJ125" s="76">
        <v>1</v>
      </c>
      <c r="AK125" s="76">
        <v>1</v>
      </c>
      <c r="AL125" s="76">
        <v>1</v>
      </c>
      <c r="AM125" s="76">
        <v>1</v>
      </c>
      <c r="AN125" s="76">
        <v>1</v>
      </c>
      <c r="AO125" s="76">
        <v>1</v>
      </c>
      <c r="AP125" s="76">
        <v>1</v>
      </c>
      <c r="AQ125" s="76">
        <v>1</v>
      </c>
      <c r="AR125" s="193"/>
      <c r="AS125" s="193"/>
      <c r="AT125" s="77"/>
    </row>
    <row r="126" spans="1:47" s="29" customFormat="1" ht="11.25">
      <c r="A126" s="36" t="s">
        <v>110</v>
      </c>
      <c r="B126" s="38"/>
      <c r="C126" s="38"/>
      <c r="D126" s="49">
        <f>B126+SUM(D115:D117)*D125</f>
        <v>335658.34061841643</v>
      </c>
      <c r="E126" s="49">
        <f t="shared" ref="E126:O126" si="338">D126+SUM(E115:E117)*E125</f>
        <v>1005962.7947763044</v>
      </c>
      <c r="F126" s="49">
        <f t="shared" si="338"/>
        <v>1479550.9279720224</v>
      </c>
      <c r="G126" s="49">
        <f t="shared" si="338"/>
        <v>2031825.5895526086</v>
      </c>
      <c r="H126" s="49">
        <f t="shared" si="338"/>
        <v>2348040.665978591</v>
      </c>
      <c r="I126" s="49">
        <f t="shared" si="338"/>
        <v>2703599.0065970076</v>
      </c>
      <c r="J126" s="49">
        <f t="shared" si="338"/>
        <v>3173987.1397927254</v>
      </c>
      <c r="K126" s="49">
        <f t="shared" si="338"/>
        <v>3647575.2729884433</v>
      </c>
      <c r="L126" s="49">
        <f t="shared" si="338"/>
        <v>3963790.3494144254</v>
      </c>
      <c r="M126" s="49">
        <f t="shared" si="338"/>
        <v>4398035.2184177097</v>
      </c>
      <c r="N126" s="49">
        <f t="shared" si="338"/>
        <v>4753593.5590361264</v>
      </c>
      <c r="O126" s="49">
        <f t="shared" si="338"/>
        <v>5069808.635462109</v>
      </c>
      <c r="P126" s="79"/>
      <c r="Q126" s="79"/>
      <c r="R126" s="49">
        <f>O126+SUM(R115:R117)*R125</f>
        <v>5405466.9760805257</v>
      </c>
      <c r="S126" s="49">
        <f t="shared" ref="S126:AC126" si="339">R126+SUM(S115:S117)*S125</f>
        <v>6075771.4302384136</v>
      </c>
      <c r="T126" s="49">
        <f t="shared" si="339"/>
        <v>6549359.5634341314</v>
      </c>
      <c r="U126" s="49">
        <f t="shared" si="339"/>
        <v>7101634.2250147173</v>
      </c>
      <c r="V126" s="49">
        <f t="shared" si="339"/>
        <v>7417849.301440699</v>
      </c>
      <c r="W126" s="49">
        <f t="shared" si="339"/>
        <v>7773407.6420591157</v>
      </c>
      <c r="X126" s="49">
        <f t="shared" si="339"/>
        <v>8243795.7752548335</v>
      </c>
      <c r="Y126" s="49">
        <f t="shared" si="339"/>
        <v>8717383.9084505513</v>
      </c>
      <c r="Z126" s="49">
        <f t="shared" si="339"/>
        <v>9033598.984876534</v>
      </c>
      <c r="AA126" s="49">
        <f t="shared" si="339"/>
        <v>9467843.8538798187</v>
      </c>
      <c r="AB126" s="49">
        <f t="shared" si="339"/>
        <v>9823402.1944982354</v>
      </c>
      <c r="AC126" s="49">
        <f t="shared" si="339"/>
        <v>10139617.270924218</v>
      </c>
      <c r="AD126" s="79"/>
      <c r="AE126" s="79"/>
      <c r="AF126" s="49">
        <f>AC126+SUM(AF115:AF117)*AF125</f>
        <v>10475275.611542635</v>
      </c>
      <c r="AG126" s="49">
        <f t="shared" ref="AG126:AQ126" si="340">AF126+SUM(AG115:AG117)*AG125</f>
        <v>11145580.065700524</v>
      </c>
      <c r="AH126" s="49">
        <f t="shared" si="340"/>
        <v>11619168.198896242</v>
      </c>
      <c r="AI126" s="49">
        <f t="shared" si="340"/>
        <v>12171442.860476829</v>
      </c>
      <c r="AJ126" s="49">
        <f t="shared" si="340"/>
        <v>12487657.936902812</v>
      </c>
      <c r="AK126" s="49">
        <f t="shared" si="340"/>
        <v>12843216.277521228</v>
      </c>
      <c r="AL126" s="49">
        <f t="shared" si="340"/>
        <v>13313604.410716947</v>
      </c>
      <c r="AM126" s="49">
        <f t="shared" si="340"/>
        <v>13787192.543912666</v>
      </c>
      <c r="AN126" s="49">
        <f t="shared" si="340"/>
        <v>14103407.620338649</v>
      </c>
      <c r="AO126" s="49">
        <f t="shared" si="340"/>
        <v>14537652.489341933</v>
      </c>
      <c r="AP126" s="49">
        <f t="shared" si="340"/>
        <v>14893210.82996035</v>
      </c>
      <c r="AQ126" s="49">
        <f t="shared" si="340"/>
        <v>15209425.906386333</v>
      </c>
      <c r="AR126" s="187"/>
      <c r="AS126" s="187"/>
      <c r="AT126" s="79"/>
    </row>
    <row r="127" spans="1:47" s="29" customFormat="1" ht="11.25">
      <c r="A127" s="36"/>
      <c r="B127" s="80"/>
      <c r="C127" s="80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187"/>
      <c r="Q127" s="187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187"/>
      <c r="AE127" s="187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187"/>
      <c r="AS127" s="187"/>
      <c r="AT127" s="34"/>
    </row>
    <row r="128" spans="1:47" s="29" customFormat="1" ht="11.25">
      <c r="A128" s="171" t="s">
        <v>111</v>
      </c>
      <c r="B128" s="81">
        <f>O126</f>
        <v>5069808.635462109</v>
      </c>
      <c r="C128" s="18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187"/>
      <c r="Q128" s="187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187"/>
      <c r="AE128" s="187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187"/>
      <c r="AS128" s="187"/>
      <c r="AT128" s="34"/>
    </row>
    <row r="129" spans="1:46" s="29" customFormat="1" ht="11.25">
      <c r="A129" s="171" t="s">
        <v>36</v>
      </c>
      <c r="B129" s="81">
        <f>B128/C69+1</f>
        <v>2.137238365962788</v>
      </c>
      <c r="C129" s="187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187"/>
      <c r="Q129" s="187"/>
      <c r="R129" s="40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187"/>
      <c r="AE129" s="187"/>
      <c r="AF129" s="40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187"/>
      <c r="AS129" s="187"/>
      <c r="AT129" s="34"/>
    </row>
    <row r="130" spans="1:46" s="29" customFormat="1" ht="11.25">
      <c r="A130" s="172" t="s">
        <v>97</v>
      </c>
      <c r="B130" s="173">
        <f>IF(AT133&lt;36,AT133+1,"Окупаемость более 36 мес., работа нецелесообразна.")</f>
        <v>11</v>
      </c>
      <c r="C130" s="306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187"/>
      <c r="Q130" s="187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187"/>
      <c r="AE130" s="187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187"/>
      <c r="AS130" s="187"/>
      <c r="AT130" s="34"/>
    </row>
    <row r="131" spans="1:46" s="17" customFormat="1" ht="11.25">
      <c r="A131" s="55"/>
      <c r="B131" s="56"/>
      <c r="C131" s="56"/>
      <c r="D131" s="62"/>
      <c r="E131" s="62"/>
      <c r="F131" s="57"/>
      <c r="G131" s="57"/>
      <c r="H131" s="57"/>
      <c r="I131" s="62"/>
      <c r="J131" s="55"/>
      <c r="K131" s="55"/>
      <c r="L131" s="55"/>
      <c r="M131" s="55"/>
      <c r="N131" s="55"/>
      <c r="O131" s="55"/>
      <c r="P131" s="188"/>
      <c r="Q131" s="188"/>
      <c r="R131" s="62"/>
      <c r="S131" s="62"/>
      <c r="T131" s="57"/>
      <c r="U131" s="57"/>
      <c r="V131" s="57"/>
      <c r="W131" s="62"/>
      <c r="X131" s="55"/>
      <c r="Y131" s="55"/>
      <c r="Z131" s="55"/>
      <c r="AA131" s="55"/>
      <c r="AB131" s="55"/>
      <c r="AC131" s="55"/>
      <c r="AD131" s="188"/>
      <c r="AE131" s="188"/>
      <c r="AF131" s="62"/>
      <c r="AG131" s="62"/>
      <c r="AH131" s="57"/>
      <c r="AI131" s="57"/>
      <c r="AJ131" s="57"/>
      <c r="AK131" s="62"/>
      <c r="AL131" s="55"/>
      <c r="AM131" s="55"/>
      <c r="AN131" s="55"/>
      <c r="AO131" s="55"/>
      <c r="AP131" s="55"/>
      <c r="AQ131" s="55"/>
      <c r="AR131" s="188"/>
      <c r="AS131" s="188"/>
      <c r="AT131" s="55"/>
    </row>
    <row r="132" spans="1:46" s="17" customFormat="1" ht="11.25" hidden="1">
      <c r="A132" s="55"/>
      <c r="B132" s="56"/>
      <c r="C132" s="56"/>
      <c r="D132" s="62"/>
      <c r="E132" s="62"/>
      <c r="F132" s="57"/>
      <c r="G132" s="57"/>
      <c r="H132" s="57"/>
      <c r="I132" s="62"/>
      <c r="J132" s="55"/>
      <c r="K132" s="55"/>
      <c r="L132" s="55"/>
      <c r="M132" s="55"/>
      <c r="N132" s="55"/>
      <c r="O132" s="55"/>
      <c r="P132" s="188"/>
      <c r="Q132" s="188"/>
      <c r="R132" s="62"/>
      <c r="S132" s="62"/>
      <c r="T132" s="57"/>
      <c r="U132" s="57"/>
      <c r="V132" s="57"/>
      <c r="W132" s="62"/>
      <c r="X132" s="55"/>
      <c r="Y132" s="55"/>
      <c r="Z132" s="55"/>
      <c r="AA132" s="55"/>
      <c r="AB132" s="55"/>
      <c r="AC132" s="55"/>
      <c r="AD132" s="188"/>
      <c r="AE132" s="188"/>
      <c r="AF132" s="62"/>
      <c r="AG132" s="62"/>
      <c r="AH132" s="57"/>
      <c r="AI132" s="57"/>
      <c r="AJ132" s="57"/>
      <c r="AK132" s="62"/>
      <c r="AL132" s="55"/>
      <c r="AM132" s="55"/>
      <c r="AN132" s="55"/>
      <c r="AO132" s="55"/>
      <c r="AP132" s="55"/>
      <c r="AQ132" s="55"/>
      <c r="AR132" s="188"/>
      <c r="AS132" s="188"/>
      <c r="AT132" s="55"/>
    </row>
    <row r="133" spans="1:46" s="197" customFormat="1" ht="11.25" hidden="1">
      <c r="B133" s="198" t="s">
        <v>74</v>
      </c>
      <c r="C133" s="198"/>
      <c r="D133" s="198">
        <f t="shared" ref="D133:O133" si="341">IF(D108&gt;0,0,1)</f>
        <v>1</v>
      </c>
      <c r="E133" s="198">
        <f t="shared" si="341"/>
        <v>1</v>
      </c>
      <c r="F133" s="198">
        <f t="shared" si="341"/>
        <v>1</v>
      </c>
      <c r="G133" s="198">
        <f t="shared" si="341"/>
        <v>1</v>
      </c>
      <c r="H133" s="198">
        <f t="shared" si="341"/>
        <v>1</v>
      </c>
      <c r="I133" s="198">
        <f t="shared" si="341"/>
        <v>1</v>
      </c>
      <c r="J133" s="198">
        <f t="shared" si="341"/>
        <v>1</v>
      </c>
      <c r="K133" s="198">
        <f t="shared" si="341"/>
        <v>1</v>
      </c>
      <c r="L133" s="198">
        <f t="shared" si="341"/>
        <v>1</v>
      </c>
      <c r="M133" s="198">
        <f t="shared" si="341"/>
        <v>1</v>
      </c>
      <c r="N133" s="198">
        <f t="shared" si="341"/>
        <v>0</v>
      </c>
      <c r="O133" s="198">
        <f t="shared" si="341"/>
        <v>0</v>
      </c>
      <c r="P133" s="199"/>
      <c r="Q133" s="199"/>
      <c r="R133" s="198">
        <f t="shared" ref="R133:AC133" si="342">IF(R108&gt;0,0,1)</f>
        <v>0</v>
      </c>
      <c r="S133" s="198">
        <f t="shared" si="342"/>
        <v>0</v>
      </c>
      <c r="T133" s="198">
        <f t="shared" si="342"/>
        <v>0</v>
      </c>
      <c r="U133" s="198">
        <f t="shared" si="342"/>
        <v>0</v>
      </c>
      <c r="V133" s="198">
        <f t="shared" si="342"/>
        <v>0</v>
      </c>
      <c r="W133" s="198">
        <f t="shared" si="342"/>
        <v>0</v>
      </c>
      <c r="X133" s="198">
        <f t="shared" si="342"/>
        <v>0</v>
      </c>
      <c r="Y133" s="198">
        <f t="shared" si="342"/>
        <v>0</v>
      </c>
      <c r="Z133" s="198">
        <f t="shared" si="342"/>
        <v>0</v>
      </c>
      <c r="AA133" s="198">
        <f t="shared" si="342"/>
        <v>0</v>
      </c>
      <c r="AB133" s="198">
        <f t="shared" si="342"/>
        <v>0</v>
      </c>
      <c r="AC133" s="198">
        <f t="shared" si="342"/>
        <v>0</v>
      </c>
      <c r="AD133" s="199"/>
      <c r="AE133" s="199"/>
      <c r="AF133" s="198">
        <f t="shared" ref="AF133:AQ133" si="343">IF(AF108&gt;0,0,1)</f>
        <v>0</v>
      </c>
      <c r="AG133" s="198">
        <f t="shared" si="343"/>
        <v>0</v>
      </c>
      <c r="AH133" s="198">
        <f t="shared" si="343"/>
        <v>0</v>
      </c>
      <c r="AI133" s="198">
        <f t="shared" si="343"/>
        <v>0</v>
      </c>
      <c r="AJ133" s="198">
        <f t="shared" si="343"/>
        <v>0</v>
      </c>
      <c r="AK133" s="198">
        <f t="shared" si="343"/>
        <v>0</v>
      </c>
      <c r="AL133" s="198">
        <f t="shared" si="343"/>
        <v>0</v>
      </c>
      <c r="AM133" s="198">
        <f t="shared" si="343"/>
        <v>0</v>
      </c>
      <c r="AN133" s="198">
        <f t="shared" si="343"/>
        <v>0</v>
      </c>
      <c r="AO133" s="198">
        <f t="shared" si="343"/>
        <v>0</v>
      </c>
      <c r="AP133" s="198">
        <f t="shared" si="343"/>
        <v>0</v>
      </c>
      <c r="AQ133" s="198">
        <f t="shared" si="343"/>
        <v>0</v>
      </c>
      <c r="AR133" s="199"/>
      <c r="AS133" s="199"/>
      <c r="AT133" s="197">
        <f>SUM(D133:AQ133)</f>
        <v>10</v>
      </c>
    </row>
    <row r="134" spans="1:46" s="17" customFormat="1" ht="11.25" hidden="1">
      <c r="A134" s="55"/>
      <c r="B134" s="56"/>
      <c r="C134" s="56"/>
      <c r="D134" s="62"/>
      <c r="E134" s="62"/>
      <c r="F134" s="57"/>
      <c r="G134" s="57"/>
      <c r="H134" s="57"/>
      <c r="I134" s="62"/>
      <c r="J134" s="55"/>
      <c r="K134" s="55"/>
      <c r="L134" s="55"/>
      <c r="M134" s="55"/>
      <c r="N134" s="55"/>
      <c r="O134" s="55"/>
      <c r="P134" s="188"/>
      <c r="Q134" s="188"/>
      <c r="R134" s="62"/>
      <c r="S134" s="62"/>
      <c r="T134" s="57"/>
      <c r="U134" s="57"/>
      <c r="V134" s="57"/>
      <c r="W134" s="62"/>
      <c r="X134" s="55"/>
      <c r="Y134" s="55"/>
      <c r="Z134" s="55"/>
      <c r="AA134" s="55"/>
      <c r="AB134" s="55"/>
      <c r="AC134" s="55"/>
      <c r="AD134" s="188"/>
      <c r="AE134" s="188"/>
      <c r="AF134" s="62"/>
      <c r="AG134" s="62"/>
      <c r="AH134" s="57"/>
      <c r="AI134" s="57"/>
      <c r="AJ134" s="57"/>
      <c r="AK134" s="62"/>
      <c r="AL134" s="55"/>
      <c r="AM134" s="55"/>
      <c r="AN134" s="55"/>
      <c r="AO134" s="55"/>
      <c r="AP134" s="55"/>
      <c r="AQ134" s="55"/>
      <c r="AR134" s="188"/>
      <c r="AS134" s="188"/>
      <c r="AT134" s="55"/>
    </row>
    <row r="135" spans="1:46" s="29" customFormat="1" ht="11.25" hidden="1">
      <c r="B135" s="40"/>
      <c r="C135" s="40"/>
      <c r="D135" s="295">
        <v>1</v>
      </c>
      <c r="E135" s="44">
        <v>2</v>
      </c>
      <c r="F135" s="295">
        <v>3</v>
      </c>
      <c r="G135" s="44">
        <v>4</v>
      </c>
      <c r="H135" s="295">
        <v>5</v>
      </c>
      <c r="I135" s="44">
        <v>6</v>
      </c>
      <c r="J135" s="295">
        <v>7</v>
      </c>
      <c r="K135" s="44">
        <v>8</v>
      </c>
      <c r="L135" s="295">
        <v>9</v>
      </c>
      <c r="M135" s="44">
        <v>10</v>
      </c>
      <c r="N135" s="295">
        <v>11</v>
      </c>
      <c r="O135" s="44">
        <v>12</v>
      </c>
      <c r="P135" s="82"/>
      <c r="Q135" s="82"/>
      <c r="R135" s="40"/>
      <c r="AD135" s="82"/>
      <c r="AE135" s="82"/>
      <c r="AF135" s="40"/>
      <c r="AR135" s="82"/>
      <c r="AS135" s="82"/>
    </row>
    <row r="136" spans="1:46" s="300" customFormat="1" ht="12" hidden="1">
      <c r="A136" s="296" t="s">
        <v>203</v>
      </c>
      <c r="B136" s="297">
        <f>SUM(D136:O136)</f>
        <v>3090</v>
      </c>
      <c r="C136" s="297"/>
      <c r="D136" s="298">
        <v>230</v>
      </c>
      <c r="E136" s="298">
        <v>240</v>
      </c>
      <c r="F136" s="298">
        <v>270</v>
      </c>
      <c r="G136" s="298">
        <v>270</v>
      </c>
      <c r="H136" s="298">
        <v>230</v>
      </c>
      <c r="I136" s="298">
        <v>260</v>
      </c>
      <c r="J136" s="298">
        <v>240</v>
      </c>
      <c r="K136" s="298">
        <v>230</v>
      </c>
      <c r="L136" s="298">
        <v>240</v>
      </c>
      <c r="M136" s="298">
        <v>320</v>
      </c>
      <c r="N136" s="298">
        <v>270</v>
      </c>
      <c r="O136" s="298">
        <v>290</v>
      </c>
      <c r="P136" s="299"/>
      <c r="Q136" s="299"/>
      <c r="AD136" s="299"/>
      <c r="AE136" s="299"/>
      <c r="AR136" s="299"/>
      <c r="AS136" s="299"/>
    </row>
    <row r="137" spans="1:46" s="29" customFormat="1" ht="11.25" hidden="1">
      <c r="P137" s="82"/>
      <c r="Q137" s="82"/>
      <c r="AD137" s="82"/>
      <c r="AE137" s="82"/>
      <c r="AR137" s="82"/>
      <c r="AS137" s="82"/>
    </row>
    <row r="138" spans="1:46" s="300" customFormat="1" ht="12" hidden="1">
      <c r="A138" s="296" t="s">
        <v>204</v>
      </c>
      <c r="B138" s="301">
        <f>SUM(D138:O138)</f>
        <v>0.99999999999999989</v>
      </c>
      <c r="C138" s="301"/>
      <c r="D138" s="302">
        <f>D136/$B$136</f>
        <v>7.4433656957928807E-2</v>
      </c>
      <c r="E138" s="302">
        <f t="shared" ref="E138:O138" si="344">E136/$B$136</f>
        <v>7.7669902912621352E-2</v>
      </c>
      <c r="F138" s="302">
        <f t="shared" si="344"/>
        <v>8.7378640776699032E-2</v>
      </c>
      <c r="G138" s="302">
        <f t="shared" si="344"/>
        <v>8.7378640776699032E-2</v>
      </c>
      <c r="H138" s="302">
        <f t="shared" si="344"/>
        <v>7.4433656957928807E-2</v>
      </c>
      <c r="I138" s="302">
        <f t="shared" si="344"/>
        <v>8.4142394822006472E-2</v>
      </c>
      <c r="J138" s="302">
        <f t="shared" si="344"/>
        <v>7.7669902912621352E-2</v>
      </c>
      <c r="K138" s="302">
        <f t="shared" si="344"/>
        <v>7.4433656957928807E-2</v>
      </c>
      <c r="L138" s="302">
        <f t="shared" si="344"/>
        <v>7.7669902912621352E-2</v>
      </c>
      <c r="M138" s="302">
        <f t="shared" si="344"/>
        <v>0.10355987055016182</v>
      </c>
      <c r="N138" s="302">
        <f t="shared" si="344"/>
        <v>8.7378640776699032E-2</v>
      </c>
      <c r="O138" s="302">
        <f t="shared" si="344"/>
        <v>9.3851132686084138E-2</v>
      </c>
      <c r="P138" s="299"/>
      <c r="Q138" s="299"/>
      <c r="AD138" s="299"/>
      <c r="AE138" s="299"/>
      <c r="AR138" s="299"/>
      <c r="AS138" s="299"/>
    </row>
    <row r="139" spans="1:46" s="304" customFormat="1" ht="12" hidden="1">
      <c r="A139" s="296" t="s">
        <v>205</v>
      </c>
      <c r="B139" s="303">
        <f>'[4]Обобщенный расчет'!E5*365</f>
        <v>76650</v>
      </c>
      <c r="C139" s="303"/>
      <c r="D139" s="303">
        <f>$B$139*D138/30</f>
        <v>190.17799352750811</v>
      </c>
      <c r="E139" s="303">
        <f t="shared" ref="E139:O139" si="345">$B$139*E138/30</f>
        <v>198.44660194174756</v>
      </c>
      <c r="F139" s="303">
        <f t="shared" si="345"/>
        <v>223.25242718446603</v>
      </c>
      <c r="G139" s="303">
        <f t="shared" si="345"/>
        <v>223.25242718446603</v>
      </c>
      <c r="H139" s="303">
        <f t="shared" si="345"/>
        <v>190.17799352750811</v>
      </c>
      <c r="I139" s="303">
        <f t="shared" si="345"/>
        <v>214.98381877022655</v>
      </c>
      <c r="J139" s="303">
        <f t="shared" si="345"/>
        <v>198.44660194174756</v>
      </c>
      <c r="K139" s="303">
        <f t="shared" si="345"/>
        <v>190.17799352750811</v>
      </c>
      <c r="L139" s="303">
        <f t="shared" si="345"/>
        <v>198.44660194174756</v>
      </c>
      <c r="M139" s="303">
        <f t="shared" si="345"/>
        <v>264.59546925566343</v>
      </c>
      <c r="N139" s="303">
        <f t="shared" si="345"/>
        <v>223.25242718446603</v>
      </c>
      <c r="O139" s="303">
        <f t="shared" si="345"/>
        <v>239.78964401294496</v>
      </c>
      <c r="P139" s="303"/>
      <c r="Q139" s="303">
        <f t="shared" ref="Q139:AA139" si="346">$B$139*Q138/30</f>
        <v>0</v>
      </c>
      <c r="R139" s="303">
        <f t="shared" si="346"/>
        <v>0</v>
      </c>
      <c r="S139" s="303">
        <f t="shared" si="346"/>
        <v>0</v>
      </c>
      <c r="T139" s="303">
        <f t="shared" si="346"/>
        <v>0</v>
      </c>
      <c r="U139" s="303">
        <f t="shared" si="346"/>
        <v>0</v>
      </c>
      <c r="V139" s="303">
        <f t="shared" si="346"/>
        <v>0</v>
      </c>
      <c r="W139" s="303">
        <f t="shared" si="346"/>
        <v>0</v>
      </c>
      <c r="X139" s="303">
        <f t="shared" si="346"/>
        <v>0</v>
      </c>
      <c r="Y139" s="303">
        <f t="shared" si="346"/>
        <v>0</v>
      </c>
      <c r="Z139" s="303">
        <f t="shared" si="346"/>
        <v>0</v>
      </c>
      <c r="AA139" s="303">
        <f t="shared" si="346"/>
        <v>0</v>
      </c>
      <c r="AD139" s="305"/>
      <c r="AE139" s="305"/>
      <c r="AR139" s="305"/>
      <c r="AS139" s="305"/>
    </row>
    <row r="140" spans="1:46" s="304" customFormat="1" ht="12" hidden="1">
      <c r="A140" s="296" t="s">
        <v>206</v>
      </c>
      <c r="B140" s="303"/>
      <c r="C140" s="303"/>
      <c r="D140" s="302">
        <f>D139/'[4]Обобщенный расчет'!$E$5</f>
        <v>0.90560949298813387</v>
      </c>
      <c r="E140" s="302">
        <f>E139/'[4]Обобщенный расчет'!$E$5</f>
        <v>0.94498381877022652</v>
      </c>
      <c r="F140" s="302">
        <f>F139/'[4]Обобщенный расчет'!$E$5</f>
        <v>1.0631067961165048</v>
      </c>
      <c r="G140" s="302">
        <f>G139/'[4]Обобщенный расчет'!$E$5</f>
        <v>1.0631067961165048</v>
      </c>
      <c r="H140" s="302">
        <f>H139/'[4]Обобщенный расчет'!$E$5</f>
        <v>0.90560949298813387</v>
      </c>
      <c r="I140" s="302">
        <f>I139/'[4]Обобщенный расчет'!$E$5</f>
        <v>1.0237324703344122</v>
      </c>
      <c r="J140" s="302">
        <f>J139/'[4]Обобщенный расчет'!$E$5</f>
        <v>0.94498381877022652</v>
      </c>
      <c r="K140" s="302">
        <f>K139/'[4]Обобщенный расчет'!$E$5</f>
        <v>0.90560949298813387</v>
      </c>
      <c r="L140" s="302">
        <f>L139/'[4]Обобщенный расчет'!$E$5</f>
        <v>0.94498381877022652</v>
      </c>
      <c r="M140" s="302">
        <f>M139/'[4]Обобщенный расчет'!$E$5</f>
        <v>1.2599784250269688</v>
      </c>
      <c r="N140" s="302">
        <f>N139/'[4]Обобщенный расчет'!$E$5</f>
        <v>1.0631067961165048</v>
      </c>
      <c r="O140" s="302">
        <f>O139/'[4]Обобщенный расчет'!$E$5</f>
        <v>1.1418554476806904</v>
      </c>
      <c r="P140" s="302">
        <f>D140</f>
        <v>0.90560949298813387</v>
      </c>
      <c r="Q140" s="302">
        <f t="shared" ref="Q140:AA140" si="347">E140</f>
        <v>0.94498381877022652</v>
      </c>
      <c r="R140" s="302">
        <f t="shared" si="347"/>
        <v>1.0631067961165048</v>
      </c>
      <c r="S140" s="302">
        <f t="shared" si="347"/>
        <v>1.0631067961165048</v>
      </c>
      <c r="T140" s="302">
        <f t="shared" si="347"/>
        <v>0.90560949298813387</v>
      </c>
      <c r="U140" s="302">
        <f t="shared" si="347"/>
        <v>1.0237324703344122</v>
      </c>
      <c r="V140" s="302">
        <f t="shared" si="347"/>
        <v>0.94498381877022652</v>
      </c>
      <c r="W140" s="302">
        <f t="shared" si="347"/>
        <v>0.90560949298813387</v>
      </c>
      <c r="X140" s="302">
        <f t="shared" si="347"/>
        <v>0.94498381877022652</v>
      </c>
      <c r="Y140" s="302">
        <f t="shared" si="347"/>
        <v>1.2599784250269688</v>
      </c>
      <c r="Z140" s="302">
        <f t="shared" si="347"/>
        <v>1.0631067961165048</v>
      </c>
      <c r="AA140" s="302">
        <f t="shared" si="347"/>
        <v>1.1418554476806904</v>
      </c>
      <c r="AD140" s="305"/>
      <c r="AE140" s="305"/>
      <c r="AR140" s="305"/>
      <c r="AS140" s="305"/>
    </row>
    <row r="141" spans="1:46" s="85" customFormat="1" ht="15" hidden="1">
      <c r="A141" s="29"/>
      <c r="B141" s="84"/>
      <c r="C141" s="84"/>
      <c r="P141" s="194"/>
      <c r="Q141" s="194"/>
      <c r="AD141" s="194"/>
      <c r="AE141" s="194"/>
      <c r="AR141" s="194"/>
      <c r="AS141" s="194"/>
    </row>
    <row r="142" spans="1:46" s="85" customFormat="1" ht="15" hidden="1">
      <c r="A142" s="29"/>
      <c r="B142" s="84"/>
      <c r="C142" s="84"/>
      <c r="D142" s="302">
        <f t="shared" ref="D142:O142" si="348">INDEX(D140:O140,$D$3)</f>
        <v>0.94498381877022652</v>
      </c>
      <c r="E142" s="302">
        <f t="shared" si="348"/>
        <v>1.2599784250269688</v>
      </c>
      <c r="F142" s="302">
        <f t="shared" si="348"/>
        <v>1.0631067961165048</v>
      </c>
      <c r="G142" s="302">
        <f t="shared" si="348"/>
        <v>1.1418554476806904</v>
      </c>
      <c r="H142" s="302">
        <f t="shared" si="348"/>
        <v>0.90560949298813387</v>
      </c>
      <c r="I142" s="302">
        <f t="shared" si="348"/>
        <v>0.94498381877022652</v>
      </c>
      <c r="J142" s="302">
        <f t="shared" si="348"/>
        <v>1.0631067961165048</v>
      </c>
      <c r="K142" s="302">
        <f t="shared" si="348"/>
        <v>1.0631067961165048</v>
      </c>
      <c r="L142" s="302">
        <f t="shared" si="348"/>
        <v>0.90560949298813387</v>
      </c>
      <c r="M142" s="302">
        <f t="shared" si="348"/>
        <v>1.0237324703344122</v>
      </c>
      <c r="N142" s="302">
        <f t="shared" si="348"/>
        <v>0.94498381877022652</v>
      </c>
      <c r="O142" s="302">
        <f t="shared" si="348"/>
        <v>0.90560949298813387</v>
      </c>
      <c r="P142" s="194"/>
      <c r="Q142" s="194"/>
      <c r="AD142" s="194"/>
      <c r="AE142" s="194"/>
      <c r="AR142" s="194"/>
      <c r="AS142" s="194"/>
    </row>
    <row r="143" spans="1:46" s="85" customFormat="1" ht="15" hidden="1">
      <c r="A143" s="29"/>
      <c r="B143" s="84"/>
      <c r="C143" s="84"/>
      <c r="P143" s="194"/>
      <c r="Q143" s="194"/>
      <c r="AD143" s="194"/>
      <c r="AE143" s="194"/>
      <c r="AR143" s="194"/>
      <c r="AS143" s="194"/>
    </row>
    <row r="144" spans="1:46" s="17" customFormat="1" ht="11.25" hidden="1">
      <c r="A144" s="55"/>
      <c r="B144" s="56"/>
      <c r="C144" s="56"/>
      <c r="D144" s="62"/>
      <c r="E144" s="62"/>
      <c r="F144" s="57"/>
      <c r="G144" s="57"/>
      <c r="H144" s="57"/>
      <c r="I144" s="62"/>
      <c r="J144" s="55"/>
      <c r="K144" s="55"/>
      <c r="L144" s="55"/>
      <c r="M144" s="55"/>
      <c r="N144" s="55"/>
      <c r="O144" s="55"/>
      <c r="P144" s="188"/>
      <c r="Q144" s="188"/>
      <c r="R144" s="62"/>
      <c r="S144" s="62"/>
      <c r="T144" s="57"/>
      <c r="U144" s="57"/>
      <c r="V144" s="57"/>
      <c r="W144" s="62"/>
      <c r="X144" s="55"/>
      <c r="Y144" s="55"/>
      <c r="Z144" s="55"/>
      <c r="AA144" s="55"/>
      <c r="AB144" s="55"/>
      <c r="AC144" s="55"/>
      <c r="AD144" s="188"/>
      <c r="AE144" s="188"/>
      <c r="AF144" s="62"/>
      <c r="AG144" s="62"/>
      <c r="AH144" s="57"/>
      <c r="AI144" s="57"/>
      <c r="AJ144" s="57"/>
      <c r="AK144" s="62"/>
      <c r="AL144" s="55"/>
      <c r="AM144" s="55"/>
      <c r="AN144" s="55"/>
      <c r="AO144" s="55"/>
      <c r="AP144" s="55"/>
      <c r="AQ144" s="55"/>
      <c r="AR144" s="188"/>
      <c r="AS144" s="188"/>
      <c r="AT144" s="55"/>
    </row>
    <row r="145" spans="1:45" s="29" customFormat="1" ht="11.25">
      <c r="B145" s="40"/>
      <c r="C145" s="40"/>
      <c r="D145" s="78"/>
      <c r="F145" s="83"/>
      <c r="P145" s="82"/>
      <c r="Q145" s="82"/>
      <c r="R145" s="78"/>
      <c r="T145" s="83"/>
      <c r="AD145" s="82"/>
      <c r="AE145" s="82"/>
      <c r="AF145" s="78"/>
      <c r="AH145" s="83"/>
      <c r="AR145" s="82"/>
      <c r="AS145" s="82"/>
    </row>
    <row r="147" spans="1:45" s="29" customFormat="1" ht="11.25">
      <c r="B147" s="78"/>
      <c r="C147" s="78"/>
      <c r="D147" s="78"/>
      <c r="P147" s="82"/>
      <c r="Q147" s="82"/>
      <c r="R147" s="78"/>
      <c r="AD147" s="82"/>
      <c r="AE147" s="82"/>
      <c r="AF147" s="78"/>
      <c r="AR147" s="82"/>
      <c r="AS147" s="82"/>
    </row>
    <row r="148" spans="1:45" s="29" customFormat="1" ht="11.25">
      <c r="B148" s="40"/>
      <c r="C148" s="40"/>
      <c r="D148" s="40"/>
      <c r="P148" s="82"/>
      <c r="Q148" s="82"/>
      <c r="R148" s="40"/>
      <c r="AD148" s="82"/>
      <c r="AE148" s="82"/>
      <c r="AF148" s="40"/>
      <c r="AR148" s="82"/>
      <c r="AS148" s="82"/>
    </row>
    <row r="149" spans="1:45" s="29" customFormat="1" ht="11.25">
      <c r="P149" s="82"/>
      <c r="Q149" s="82"/>
      <c r="AD149" s="82"/>
      <c r="AE149" s="82"/>
      <c r="AR149" s="82"/>
      <c r="AS149" s="82"/>
    </row>
    <row r="150" spans="1:45" s="29" customFormat="1" ht="11.25">
      <c r="P150" s="82"/>
      <c r="Q150" s="82"/>
      <c r="AD150" s="82"/>
      <c r="AE150" s="82"/>
      <c r="AR150" s="82"/>
      <c r="AS150" s="82"/>
    </row>
    <row r="151" spans="1:45" s="85" customFormat="1" ht="15">
      <c r="A151" s="29"/>
      <c r="B151" s="84"/>
      <c r="C151" s="84"/>
      <c r="P151" s="194"/>
      <c r="Q151" s="194"/>
      <c r="AD151" s="194"/>
      <c r="AE151" s="194"/>
      <c r="AR151" s="194"/>
      <c r="AS151" s="194"/>
    </row>
    <row r="152" spans="1:45" s="85" customFormat="1" ht="15">
      <c r="A152" s="29"/>
      <c r="B152" s="84"/>
      <c r="C152" s="84"/>
      <c r="P152" s="194"/>
      <c r="Q152" s="194"/>
      <c r="AD152" s="194"/>
      <c r="AE152" s="194"/>
      <c r="AR152" s="194"/>
      <c r="AS152" s="194"/>
    </row>
    <row r="153" spans="1:45" s="85" customFormat="1" ht="15">
      <c r="A153" s="29"/>
      <c r="B153" s="84"/>
      <c r="C153" s="84"/>
      <c r="P153" s="194"/>
      <c r="Q153" s="194"/>
      <c r="AD153" s="194"/>
      <c r="AE153" s="194"/>
      <c r="AR153" s="194"/>
      <c r="AS153" s="194"/>
    </row>
    <row r="154" spans="1:45" s="85" customFormat="1" ht="15">
      <c r="A154" s="29"/>
      <c r="B154" s="84"/>
      <c r="C154" s="84"/>
      <c r="P154" s="194"/>
      <c r="Q154" s="194"/>
      <c r="AD154" s="194"/>
      <c r="AE154" s="194"/>
      <c r="AR154" s="194"/>
      <c r="AS154" s="194"/>
    </row>
    <row r="155" spans="1:45" s="85" customFormat="1" ht="15">
      <c r="A155" s="29"/>
      <c r="B155" s="84"/>
      <c r="C155" s="84"/>
      <c r="P155" s="194"/>
      <c r="Q155" s="194"/>
      <c r="AD155" s="194"/>
      <c r="AE155" s="194"/>
      <c r="AR155" s="194"/>
      <c r="AS155" s="194"/>
    </row>
    <row r="156" spans="1:45" s="85" customFormat="1" ht="15">
      <c r="A156" s="29"/>
      <c r="B156" s="84"/>
      <c r="C156" s="84"/>
      <c r="P156" s="194"/>
      <c r="Q156" s="194"/>
      <c r="AD156" s="194"/>
      <c r="AE156" s="194"/>
      <c r="AR156" s="194"/>
      <c r="AS156" s="194"/>
    </row>
    <row r="157" spans="1:45" s="85" customFormat="1" ht="15">
      <c r="A157" s="29"/>
      <c r="B157" s="84"/>
      <c r="C157" s="84"/>
      <c r="P157" s="194"/>
      <c r="Q157" s="194"/>
      <c r="AD157" s="194"/>
      <c r="AE157" s="194"/>
      <c r="AR157" s="194"/>
      <c r="AS157" s="194"/>
    </row>
    <row r="158" spans="1:45" s="85" customFormat="1" ht="15">
      <c r="A158" s="29"/>
      <c r="B158" s="84"/>
      <c r="C158" s="84"/>
      <c r="P158" s="194"/>
      <c r="Q158" s="194"/>
      <c r="AD158" s="194"/>
      <c r="AE158" s="194"/>
      <c r="AR158" s="194"/>
      <c r="AS158" s="194"/>
    </row>
    <row r="159" spans="1:45" s="85" customFormat="1" ht="15">
      <c r="A159" s="29"/>
      <c r="B159" s="84"/>
      <c r="C159" s="84"/>
      <c r="P159" s="194"/>
      <c r="Q159" s="194"/>
      <c r="AD159" s="194"/>
      <c r="AE159" s="194"/>
      <c r="AR159" s="194"/>
      <c r="AS159" s="194"/>
    </row>
    <row r="160" spans="1:45" s="85" customFormat="1" ht="15">
      <c r="A160" s="29"/>
      <c r="B160" s="84"/>
      <c r="C160" s="84"/>
      <c r="P160" s="194"/>
      <c r="Q160" s="194"/>
      <c r="AD160" s="194"/>
      <c r="AE160" s="194"/>
      <c r="AR160" s="194"/>
      <c r="AS160" s="194"/>
    </row>
    <row r="161" spans="1:45" s="85" customFormat="1" ht="15">
      <c r="A161" s="29"/>
      <c r="B161" s="84"/>
      <c r="C161" s="84"/>
      <c r="P161" s="194"/>
      <c r="Q161" s="194"/>
      <c r="AD161" s="194"/>
      <c r="AE161" s="194"/>
      <c r="AR161" s="194"/>
      <c r="AS161" s="194"/>
    </row>
    <row r="162" spans="1:45" s="85" customFormat="1" ht="15">
      <c r="A162" s="29"/>
      <c r="B162" s="84"/>
      <c r="C162" s="84"/>
      <c r="P162" s="194"/>
      <c r="Q162" s="194"/>
      <c r="AD162" s="194"/>
      <c r="AE162" s="194"/>
      <c r="AR162" s="194"/>
      <c r="AS162" s="194"/>
    </row>
    <row r="163" spans="1:45" s="85" customFormat="1" ht="15">
      <c r="A163" s="29"/>
      <c r="B163" s="84"/>
      <c r="C163" s="84"/>
      <c r="P163" s="194"/>
      <c r="Q163" s="194"/>
      <c r="AD163" s="194"/>
      <c r="AE163" s="194"/>
      <c r="AR163" s="194"/>
      <c r="AS163" s="194"/>
    </row>
    <row r="164" spans="1:45" s="85" customFormat="1" ht="15">
      <c r="A164" s="29"/>
      <c r="B164" s="84"/>
      <c r="C164" s="84"/>
      <c r="P164" s="194"/>
      <c r="Q164" s="194"/>
      <c r="AD164" s="194"/>
      <c r="AE164" s="194"/>
      <c r="AR164" s="194"/>
      <c r="AS164" s="194"/>
    </row>
  </sheetData>
  <mergeCells count="8">
    <mergeCell ref="A1:B1"/>
    <mergeCell ref="AT12:AT13"/>
    <mergeCell ref="D5:Q5"/>
    <mergeCell ref="D12:Q12"/>
    <mergeCell ref="R5:AE5"/>
    <mergeCell ref="R12:AE12"/>
    <mergeCell ref="AF5:AS5"/>
    <mergeCell ref="AF12:AS12"/>
  </mergeCells>
  <pageMargins left="0.39370078740157483" right="0.39370078740157483" top="0.39370078740157483" bottom="0.39370078740157483" header="0.51181102362204722" footer="0.51181102362204722"/>
  <pageSetup paperSize="9" scale="48" fitToHeight="2" orientation="portrait" horizontalDpi="300" verticalDpi="300" r:id="rId1"/>
  <headerFooter alignWithMargins="0"/>
  <colBreaks count="2" manualBreakCount="2">
    <brk id="17" min="4" max="115" man="1"/>
    <brk id="31" min="4" max="1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Исходные данные</vt:lpstr>
      <vt:lpstr>Обобщенный расчет</vt:lpstr>
      <vt:lpstr>Детальный расчет</vt:lpstr>
      <vt:lpstr>'Детальный расчет'!Заголовки_для_печати</vt:lpstr>
      <vt:lpstr>'Детальный расчет'!Область_печати</vt:lpstr>
      <vt:lpstr>'Исходные данные'!Область_печати</vt:lpstr>
      <vt:lpstr>'Обобщенный расчет'!Область_печати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Пользователь</cp:lastModifiedBy>
  <cp:lastPrinted>2017-02-04T03:57:33Z</cp:lastPrinted>
  <dcterms:created xsi:type="dcterms:W3CDTF">2013-12-25T12:04:54Z</dcterms:created>
  <dcterms:modified xsi:type="dcterms:W3CDTF">2018-09-22T09:05:45Z</dcterms:modified>
</cp:coreProperties>
</file>