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ФРАН\0 0 0 0 ПРОЕКТЫ 0 0 0 0\+ My Parfumer\2 фин. м\некст\"/>
    </mc:Choice>
  </mc:AlternateContent>
  <bookViews>
    <workbookView xWindow="0" yWindow="0" windowWidth="28800" windowHeight="12330"/>
  </bookViews>
  <sheets>
    <sheet name="Исходные данные" sheetId="1" r:id="rId1"/>
    <sheet name="Инвестиции" sheetId="2" r:id="rId2"/>
    <sheet name="Ключевые показатели" sheetId="3" r:id="rId3"/>
    <sheet name="Финансовая модель" sheetId="4" r:id="rId4"/>
    <sheet name="Динамика" sheetId="5" r:id="rId5"/>
    <sheet name="Упрощенная фин модель" sheetId="6" r:id="rId6"/>
  </sheets>
  <definedNames>
    <definedName name="без_выезда" localSheetId="0">#REF!</definedName>
    <definedName name="без_выезда">#REF!</definedName>
    <definedName name="зп">#REF!</definedName>
    <definedName name="под_ключ" localSheetId="0">#REF!</definedName>
    <definedName name="под_ключ">#REF!</definedName>
    <definedName name="с_выездом">#REF!</definedName>
  </definedNames>
  <calcPr calcId="162913"/>
</workbook>
</file>

<file path=xl/calcChain.xml><?xml version="1.0" encoding="utf-8"?>
<calcChain xmlns="http://schemas.openxmlformats.org/spreadsheetml/2006/main">
  <c r="S8" i="2" l="1"/>
  <c r="S6" i="2"/>
  <c r="E8" i="2" l="1"/>
  <c r="E6" i="2"/>
  <c r="S7" i="2"/>
  <c r="E7" i="2" s="1"/>
  <c r="Y26" i="4"/>
  <c r="V26" i="4"/>
  <c r="S26" i="4"/>
  <c r="P26" i="4"/>
  <c r="M26" i="4"/>
  <c r="J26" i="4"/>
  <c r="G26" i="4"/>
  <c r="D26" i="4"/>
  <c r="Y20" i="4"/>
  <c r="V20" i="4"/>
  <c r="S20" i="4"/>
  <c r="P20" i="4"/>
  <c r="M20" i="4"/>
  <c r="J20" i="4"/>
  <c r="G20" i="4"/>
  <c r="D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D21" i="1"/>
  <c r="S12" i="2" s="1"/>
  <c r="E12" i="2" s="1"/>
  <c r="E11" i="2"/>
  <c r="E10" i="2"/>
  <c r="E9" i="2"/>
  <c r="H15" i="4" l="1"/>
  <c r="K15" i="4"/>
  <c r="L15" i="4"/>
  <c r="M15" i="4"/>
  <c r="N15" i="4"/>
  <c r="P15" i="4"/>
  <c r="Q15" i="4"/>
  <c r="R15" i="4"/>
  <c r="S15" i="4"/>
  <c r="T15" i="4"/>
  <c r="U15" i="4"/>
  <c r="V15" i="4"/>
  <c r="X15" i="4"/>
  <c r="Y15" i="4"/>
  <c r="Z15" i="4"/>
  <c r="C15" i="4"/>
  <c r="E13" i="4"/>
  <c r="D13" i="4"/>
  <c r="F15" i="4"/>
  <c r="G15" i="4"/>
  <c r="I15" i="4"/>
  <c r="J15" i="4"/>
  <c r="O15" i="4"/>
  <c r="W15" i="4"/>
  <c r="D15" i="4" l="1"/>
  <c r="E15" i="4"/>
  <c r="C5" i="6"/>
  <c r="E15" i="1" l="1"/>
  <c r="C6" i="2" l="1"/>
  <c r="D12" i="1" l="1"/>
  <c r="S5" i="2" s="1"/>
  <c r="E5" i="2" s="1"/>
  <c r="E5" i="6" l="1"/>
  <c r="D5" i="6"/>
  <c r="E3" i="6"/>
  <c r="D3" i="6"/>
  <c r="C3" i="6"/>
  <c r="D7" i="3" l="1"/>
  <c r="AB15" i="4" l="1"/>
  <c r="F7" i="2" l="1"/>
  <c r="F8" i="2"/>
  <c r="F9" i="2"/>
  <c r="F11" i="2"/>
  <c r="F5" i="2"/>
  <c r="F10" i="2"/>
  <c r="AB3" i="4" l="1"/>
  <c r="C3" i="4" s="1"/>
  <c r="D29" i="6" s="1"/>
  <c r="C6" i="4" l="1"/>
  <c r="C7" i="4" s="1"/>
  <c r="D14" i="6"/>
  <c r="D3" i="4"/>
  <c r="E29" i="6" s="1"/>
  <c r="C38" i="6"/>
  <c r="C36" i="6"/>
  <c r="C23" i="6"/>
  <c r="C21" i="6"/>
  <c r="F6" i="2"/>
  <c r="D6" i="4" l="1"/>
  <c r="D7" i="4" s="1"/>
  <c r="D8" i="4" s="1"/>
  <c r="D11" i="4" s="1"/>
  <c r="E14" i="6"/>
  <c r="C8" i="4"/>
  <c r="C11" i="4" s="1"/>
  <c r="E3" i="4"/>
  <c r="F29" i="6" s="1"/>
  <c r="E6" i="4" l="1"/>
  <c r="E7" i="4" s="1"/>
  <c r="E8" i="4" s="1"/>
  <c r="E11" i="4" s="1"/>
  <c r="F14" i="6"/>
  <c r="C18" i="4"/>
  <c r="D12" i="4"/>
  <c r="D21" i="4"/>
  <c r="D18" i="4"/>
  <c r="C21" i="4"/>
  <c r="E15" i="6"/>
  <c r="F3" i="4"/>
  <c r="G29" i="6" s="1"/>
  <c r="D17" i="4"/>
  <c r="E30" i="6"/>
  <c r="D30" i="6"/>
  <c r="C17" i="4"/>
  <c r="D15" i="6"/>
  <c r="F6" i="4" l="1"/>
  <c r="F7" i="4" s="1"/>
  <c r="F8" i="4" s="1"/>
  <c r="F11" i="4" s="1"/>
  <c r="G14" i="6"/>
  <c r="E18" i="4"/>
  <c r="E12" i="4"/>
  <c r="E21" i="4"/>
  <c r="D22" i="4"/>
  <c r="E32" i="6" s="1"/>
  <c r="C12" i="4"/>
  <c r="F30" i="6"/>
  <c r="E17" i="4"/>
  <c r="F15" i="6"/>
  <c r="G3" i="4"/>
  <c r="H29" i="6" s="1"/>
  <c r="G6" i="4" l="1"/>
  <c r="G7" i="4" s="1"/>
  <c r="G8" i="4" s="1"/>
  <c r="G11" i="4" s="1"/>
  <c r="H14" i="6"/>
  <c r="C22" i="4"/>
  <c r="C24" i="4" s="1"/>
  <c r="E13" i="2"/>
  <c r="F18" i="4"/>
  <c r="F12" i="4"/>
  <c r="F21" i="4"/>
  <c r="E22" i="4"/>
  <c r="E24" i="4" s="1"/>
  <c r="F12" i="2"/>
  <c r="D24" i="4"/>
  <c r="E17" i="6"/>
  <c r="G30" i="6"/>
  <c r="G15" i="6"/>
  <c r="F17" i="4"/>
  <c r="H3" i="4"/>
  <c r="I29" i="6" s="1"/>
  <c r="H6" i="4" l="1"/>
  <c r="H7" i="4" s="1"/>
  <c r="H8" i="4" s="1"/>
  <c r="H11" i="4" s="1"/>
  <c r="I14" i="6"/>
  <c r="D32" i="6"/>
  <c r="D17" i="6"/>
  <c r="G18" i="4"/>
  <c r="G12" i="4"/>
  <c r="G21" i="4"/>
  <c r="F22" i="4"/>
  <c r="F24" i="4" s="1"/>
  <c r="B30" i="4"/>
  <c r="B31" i="4" s="1"/>
  <c r="F13" i="2"/>
  <c r="D19" i="6"/>
  <c r="D34" i="6"/>
  <c r="C28" i="4"/>
  <c r="F17" i="6"/>
  <c r="F32" i="6"/>
  <c r="H15" i="6"/>
  <c r="H30" i="6"/>
  <c r="G17" i="4"/>
  <c r="I3" i="4"/>
  <c r="J29" i="6" s="1"/>
  <c r="I6" i="4" l="1"/>
  <c r="I7" i="4" s="1"/>
  <c r="I8" i="4" s="1"/>
  <c r="I11" i="4" s="1"/>
  <c r="J14" i="6"/>
  <c r="D21" i="6"/>
  <c r="D23" i="6" s="1"/>
  <c r="D36" i="6"/>
  <c r="D38" i="6" s="1"/>
  <c r="H18" i="4"/>
  <c r="H12" i="4"/>
  <c r="H21" i="4"/>
  <c r="G22" i="4"/>
  <c r="H17" i="6" s="1"/>
  <c r="C30" i="4"/>
  <c r="C31" i="4" s="1"/>
  <c r="F19" i="6"/>
  <c r="F21" i="6" s="1"/>
  <c r="F34" i="6"/>
  <c r="F36" i="6" s="1"/>
  <c r="E28" i="4"/>
  <c r="E19" i="6"/>
  <c r="E21" i="6" s="1"/>
  <c r="E34" i="6"/>
  <c r="E36" i="6" s="1"/>
  <c r="D28" i="4"/>
  <c r="G17" i="6"/>
  <c r="G32" i="6"/>
  <c r="I15" i="6"/>
  <c r="I30" i="6"/>
  <c r="H17" i="4"/>
  <c r="J3" i="4"/>
  <c r="K29" i="6" s="1"/>
  <c r="J6" i="4" l="1"/>
  <c r="J7" i="4" s="1"/>
  <c r="J8" i="4" s="1"/>
  <c r="J11" i="4" s="1"/>
  <c r="K14" i="6"/>
  <c r="E23" i="6"/>
  <c r="F23" i="6" s="1"/>
  <c r="E38" i="6"/>
  <c r="F38" i="6" s="1"/>
  <c r="I21" i="4"/>
  <c r="I12" i="4"/>
  <c r="H22" i="4"/>
  <c r="H24" i="4" s="1"/>
  <c r="I18" i="4"/>
  <c r="D30" i="4"/>
  <c r="E30" i="4" s="1"/>
  <c r="G19" i="6"/>
  <c r="G21" i="6" s="1"/>
  <c r="G34" i="6"/>
  <c r="G36" i="6" s="1"/>
  <c r="F28" i="4"/>
  <c r="H32" i="6"/>
  <c r="G24" i="4"/>
  <c r="K3" i="4"/>
  <c r="L29" i="6" s="1"/>
  <c r="I17" i="4"/>
  <c r="J15" i="6"/>
  <c r="J30" i="6"/>
  <c r="K6" i="4" l="1"/>
  <c r="K7" i="4" s="1"/>
  <c r="K8" i="4" s="1"/>
  <c r="K11" i="4" s="1"/>
  <c r="L14" i="6"/>
  <c r="J18" i="4"/>
  <c r="J12" i="4"/>
  <c r="J21" i="4"/>
  <c r="I22" i="4"/>
  <c r="J17" i="6" s="1"/>
  <c r="D31" i="4"/>
  <c r="G38" i="6"/>
  <c r="G23" i="6"/>
  <c r="E31" i="4"/>
  <c r="F30" i="4"/>
  <c r="F31" i="4" s="1"/>
  <c r="I17" i="6"/>
  <c r="I32" i="6"/>
  <c r="J17" i="4"/>
  <c r="K30" i="6"/>
  <c r="K15" i="6"/>
  <c r="L3" i="4"/>
  <c r="M29" i="6" s="1"/>
  <c r="L6" i="4" l="1"/>
  <c r="L7" i="4" s="1"/>
  <c r="L8" i="4" s="1"/>
  <c r="L11" i="4" s="1"/>
  <c r="M14" i="6"/>
  <c r="K21" i="4"/>
  <c r="K18" i="4"/>
  <c r="J22" i="4"/>
  <c r="K17" i="6" s="1"/>
  <c r="K12" i="4"/>
  <c r="I34" i="6"/>
  <c r="I36" i="6" s="1"/>
  <c r="I19" i="6"/>
  <c r="I21" i="6" s="1"/>
  <c r="H34" i="6"/>
  <c r="H36" i="6" s="1"/>
  <c r="H38" i="6" s="1"/>
  <c r="H19" i="6"/>
  <c r="H21" i="6" s="1"/>
  <c r="H23" i="6" s="1"/>
  <c r="G28" i="4"/>
  <c r="G30" i="4" s="1"/>
  <c r="H28" i="4"/>
  <c r="I24" i="4"/>
  <c r="J32" i="6"/>
  <c r="M3" i="4"/>
  <c r="N29" i="6" s="1"/>
  <c r="L30" i="6"/>
  <c r="L15" i="6"/>
  <c r="K17" i="4"/>
  <c r="M6" i="4" l="1"/>
  <c r="M7" i="4" s="1"/>
  <c r="M8" i="4" s="1"/>
  <c r="M11" i="4" s="1"/>
  <c r="N14" i="6"/>
  <c r="L18" i="4"/>
  <c r="L12" i="4"/>
  <c r="K22" i="4"/>
  <c r="K24" i="4" s="1"/>
  <c r="L21" i="4"/>
  <c r="I23" i="6"/>
  <c r="I38" i="6"/>
  <c r="G31" i="4"/>
  <c r="H30" i="4"/>
  <c r="H31" i="4" s="1"/>
  <c r="K32" i="6"/>
  <c r="J24" i="4"/>
  <c r="L17" i="4"/>
  <c r="M15" i="6"/>
  <c r="M30" i="6"/>
  <c r="N3" i="4"/>
  <c r="O29" i="6" s="1"/>
  <c r="N6" i="4" l="1"/>
  <c r="N7" i="4" s="1"/>
  <c r="N8" i="4" s="1"/>
  <c r="N11" i="4" s="1"/>
  <c r="O14" i="6"/>
  <c r="L22" i="4"/>
  <c r="M32" i="6" s="1"/>
  <c r="M21" i="4"/>
  <c r="M18" i="4"/>
  <c r="M12" i="4"/>
  <c r="J34" i="6"/>
  <c r="J36" i="6" s="1"/>
  <c r="J38" i="6" s="1"/>
  <c r="J19" i="6"/>
  <c r="J21" i="6" s="1"/>
  <c r="J23" i="6" s="1"/>
  <c r="I28" i="4"/>
  <c r="I30" i="4" s="1"/>
  <c r="I31" i="4" s="1"/>
  <c r="L17" i="6"/>
  <c r="L32" i="6"/>
  <c r="O3" i="4"/>
  <c r="P29" i="6" s="1"/>
  <c r="N15" i="6"/>
  <c r="M17" i="4"/>
  <c r="N30" i="6"/>
  <c r="O6" i="4" l="1"/>
  <c r="O7" i="4" s="1"/>
  <c r="O8" i="4" s="1"/>
  <c r="O11" i="4" s="1"/>
  <c r="P14" i="6"/>
  <c r="N18" i="4"/>
  <c r="N12" i="4"/>
  <c r="M22" i="4"/>
  <c r="M24" i="4" s="1"/>
  <c r="N21" i="4"/>
  <c r="L34" i="6"/>
  <c r="L36" i="6" s="1"/>
  <c r="L19" i="6"/>
  <c r="L21" i="6" s="1"/>
  <c r="K28" i="4"/>
  <c r="K34" i="6"/>
  <c r="K36" i="6" s="1"/>
  <c r="K38" i="6" s="1"/>
  <c r="K19" i="6"/>
  <c r="K21" i="6" s="1"/>
  <c r="K23" i="6" s="1"/>
  <c r="J28" i="4"/>
  <c r="J30" i="4" s="1"/>
  <c r="L24" i="4"/>
  <c r="M17" i="6"/>
  <c r="P3" i="4"/>
  <c r="Q29" i="6" s="1"/>
  <c r="O15" i="6"/>
  <c r="N17" i="4"/>
  <c r="O30" i="6"/>
  <c r="P6" i="4" l="1"/>
  <c r="P7" i="4" s="1"/>
  <c r="P8" i="4" s="1"/>
  <c r="P11" i="4" s="1"/>
  <c r="Q14" i="6"/>
  <c r="O18" i="4"/>
  <c r="O12" i="4"/>
  <c r="N22" i="4"/>
  <c r="O32" i="6" s="1"/>
  <c r="O21" i="4"/>
  <c r="L28" i="4"/>
  <c r="L23" i="6"/>
  <c r="L38" i="6"/>
  <c r="J31" i="4"/>
  <c r="K30" i="4"/>
  <c r="K31" i="4" s="1"/>
  <c r="N32" i="6"/>
  <c r="N17" i="6"/>
  <c r="P30" i="6"/>
  <c r="O17" i="4"/>
  <c r="P15" i="6"/>
  <c r="Q3" i="4"/>
  <c r="R29" i="6" s="1"/>
  <c r="Q6" i="4" l="1"/>
  <c r="Q7" i="4" s="1"/>
  <c r="Q8" i="4" s="1"/>
  <c r="Q11" i="4" s="1"/>
  <c r="R14" i="6"/>
  <c r="P21" i="4"/>
  <c r="P12" i="4"/>
  <c r="P18" i="4"/>
  <c r="O22" i="4"/>
  <c r="O24" i="4" s="1"/>
  <c r="M34" i="6"/>
  <c r="M36" i="6" s="1"/>
  <c r="M38" i="6" s="1"/>
  <c r="M19" i="6"/>
  <c r="M21" i="6" s="1"/>
  <c r="M23" i="6" s="1"/>
  <c r="N34" i="6"/>
  <c r="N36" i="6" s="1"/>
  <c r="N19" i="6"/>
  <c r="N21" i="6" s="1"/>
  <c r="M28" i="4"/>
  <c r="L30" i="4"/>
  <c r="N24" i="4"/>
  <c r="O17" i="6"/>
  <c r="R3" i="4"/>
  <c r="S29" i="6" s="1"/>
  <c r="Q15" i="6"/>
  <c r="P17" i="4"/>
  <c r="Q30" i="6"/>
  <c r="R6" i="4" l="1"/>
  <c r="R7" i="4" s="1"/>
  <c r="R8" i="4" s="1"/>
  <c r="R11" i="4" s="1"/>
  <c r="S14" i="6"/>
  <c r="Q21" i="4"/>
  <c r="Q12" i="4"/>
  <c r="Q18" i="4"/>
  <c r="P22" i="4"/>
  <c r="P24" i="4" s="1"/>
  <c r="N23" i="6"/>
  <c r="N38" i="6"/>
  <c r="O28" i="4"/>
  <c r="L31" i="4"/>
  <c r="M30" i="4"/>
  <c r="M31" i="4" s="1"/>
  <c r="P32" i="6"/>
  <c r="P17" i="6"/>
  <c r="R15" i="6"/>
  <c r="Q17" i="4"/>
  <c r="R30" i="6"/>
  <c r="S3" i="4"/>
  <c r="T29" i="6" s="1"/>
  <c r="S6" i="4" l="1"/>
  <c r="S7" i="4" s="1"/>
  <c r="S8" i="4" s="1"/>
  <c r="S11" i="4" s="1"/>
  <c r="T14" i="6"/>
  <c r="R21" i="4"/>
  <c r="R12" i="4"/>
  <c r="Q22" i="4"/>
  <c r="Q24" i="4" s="1"/>
  <c r="R18" i="4"/>
  <c r="O34" i="6"/>
  <c r="O36" i="6" s="1"/>
  <c r="O38" i="6" s="1"/>
  <c r="O19" i="6"/>
  <c r="O21" i="6" s="1"/>
  <c r="O23" i="6" s="1"/>
  <c r="P34" i="6"/>
  <c r="P36" i="6" s="1"/>
  <c r="P19" i="6"/>
  <c r="P21" i="6" s="1"/>
  <c r="N28" i="4"/>
  <c r="N30" i="4" s="1"/>
  <c r="Q17" i="6"/>
  <c r="Q32" i="6"/>
  <c r="T3" i="4"/>
  <c r="U29" i="6" s="1"/>
  <c r="S30" i="6"/>
  <c r="S15" i="6"/>
  <c r="R17" i="4"/>
  <c r="T6" i="4" l="1"/>
  <c r="T7" i="4" s="1"/>
  <c r="T8" i="4" s="1"/>
  <c r="T11" i="4" s="1"/>
  <c r="U14" i="6"/>
  <c r="S18" i="4"/>
  <c r="S12" i="4"/>
  <c r="S21" i="4"/>
  <c r="R22" i="4"/>
  <c r="R24" i="4" s="1"/>
  <c r="P23" i="6"/>
  <c r="P38" i="6"/>
  <c r="Q34" i="6"/>
  <c r="Q36" i="6" s="1"/>
  <c r="Q19" i="6"/>
  <c r="Q21" i="6" s="1"/>
  <c r="P28" i="4"/>
  <c r="N31" i="4"/>
  <c r="O30" i="4"/>
  <c r="R32" i="6"/>
  <c r="R17" i="6"/>
  <c r="T30" i="6"/>
  <c r="S17" i="4"/>
  <c r="T15" i="6"/>
  <c r="U3" i="4"/>
  <c r="V29" i="6" s="1"/>
  <c r="U6" i="4" l="1"/>
  <c r="U7" i="4" s="1"/>
  <c r="U8" i="4" s="1"/>
  <c r="U11" i="4" s="1"/>
  <c r="V14" i="6"/>
  <c r="T18" i="4"/>
  <c r="T12" i="4"/>
  <c r="T21" i="4"/>
  <c r="S22" i="4"/>
  <c r="T32" i="6" s="1"/>
  <c r="Q38" i="6"/>
  <c r="Q23" i="6"/>
  <c r="R34" i="6"/>
  <c r="R36" i="6" s="1"/>
  <c r="R19" i="6"/>
  <c r="R21" i="6" s="1"/>
  <c r="Q28" i="4"/>
  <c r="O31" i="4"/>
  <c r="P30" i="4"/>
  <c r="S17" i="6"/>
  <c r="S32" i="6"/>
  <c r="V3" i="4"/>
  <c r="W29" i="6" s="1"/>
  <c r="U30" i="6"/>
  <c r="U15" i="6"/>
  <c r="T17" i="4"/>
  <c r="V6" i="4" l="1"/>
  <c r="V7" i="4" s="1"/>
  <c r="V8" i="4" s="1"/>
  <c r="V11" i="4" s="1"/>
  <c r="W14" i="6"/>
  <c r="U18" i="4"/>
  <c r="T22" i="4"/>
  <c r="T24" i="4" s="1"/>
  <c r="U21" i="4"/>
  <c r="U12" i="4"/>
  <c r="R38" i="6"/>
  <c r="R23" i="6"/>
  <c r="S34" i="6"/>
  <c r="S36" i="6" s="1"/>
  <c r="S19" i="6"/>
  <c r="S21" i="6" s="1"/>
  <c r="R28" i="4"/>
  <c r="P31" i="4"/>
  <c r="Q30" i="4"/>
  <c r="T17" i="6"/>
  <c r="S24" i="4"/>
  <c r="U17" i="4"/>
  <c r="V15" i="6"/>
  <c r="V30" i="6"/>
  <c r="W3" i="4"/>
  <c r="X29" i="6" s="1"/>
  <c r="W6" i="4" l="1"/>
  <c r="W7" i="4" s="1"/>
  <c r="W8" i="4" s="1"/>
  <c r="W11" i="4" s="1"/>
  <c r="X14" i="6"/>
  <c r="V18" i="4"/>
  <c r="V12" i="4"/>
  <c r="V21" i="4"/>
  <c r="U22" i="4"/>
  <c r="V17" i="6" s="1"/>
  <c r="S38" i="6"/>
  <c r="S23" i="6"/>
  <c r="T28" i="4"/>
  <c r="Q31" i="4"/>
  <c r="R30" i="4"/>
  <c r="R31" i="4" s="1"/>
  <c r="U17" i="6"/>
  <c r="U32" i="6"/>
  <c r="X3" i="4"/>
  <c r="Y29" i="6" s="1"/>
  <c r="W15" i="6"/>
  <c r="V17" i="4"/>
  <c r="W30" i="6"/>
  <c r="X6" i="4" l="1"/>
  <c r="X7" i="4" s="1"/>
  <c r="X8" i="4" s="1"/>
  <c r="X11" i="4" s="1"/>
  <c r="Y14" i="6"/>
  <c r="W18" i="4"/>
  <c r="W12" i="4"/>
  <c r="W21" i="4"/>
  <c r="V22" i="4"/>
  <c r="V24" i="4" s="1"/>
  <c r="T34" i="6"/>
  <c r="T36" i="6" s="1"/>
  <c r="T38" i="6" s="1"/>
  <c r="T19" i="6"/>
  <c r="T21" i="6" s="1"/>
  <c r="T23" i="6" s="1"/>
  <c r="S28" i="4"/>
  <c r="S30" i="4" s="1"/>
  <c r="U34" i="6"/>
  <c r="U36" i="6" s="1"/>
  <c r="U19" i="6"/>
  <c r="U21" i="6" s="1"/>
  <c r="U24" i="4"/>
  <c r="V32" i="6"/>
  <c r="W17" i="4"/>
  <c r="X30" i="6"/>
  <c r="X15" i="6"/>
  <c r="Y3" i="4"/>
  <c r="Z29" i="6" s="1"/>
  <c r="Y6" i="4" l="1"/>
  <c r="Y7" i="4" s="1"/>
  <c r="Y8" i="4" s="1"/>
  <c r="Y11" i="4" s="1"/>
  <c r="Z14" i="6"/>
  <c r="X21" i="4"/>
  <c r="X18" i="4"/>
  <c r="W22" i="4"/>
  <c r="W24" i="4" s="1"/>
  <c r="X12" i="4"/>
  <c r="U23" i="6"/>
  <c r="U38" i="6"/>
  <c r="S31" i="4"/>
  <c r="T30" i="4"/>
  <c r="T31" i="4" s="1"/>
  <c r="W32" i="6"/>
  <c r="W17" i="6"/>
  <c r="Z3" i="4"/>
  <c r="AA29" i="6" s="1"/>
  <c r="Y15" i="6"/>
  <c r="X17" i="4"/>
  <c r="Y30" i="6"/>
  <c r="Z6" i="4" l="1"/>
  <c r="Z7" i="4" s="1"/>
  <c r="Z8" i="4" s="1"/>
  <c r="Z11" i="4" s="1"/>
  <c r="AA14" i="6"/>
  <c r="Y18" i="4"/>
  <c r="Y12" i="4"/>
  <c r="Y21" i="4"/>
  <c r="X22" i="4"/>
  <c r="X24" i="4" s="1"/>
  <c r="X32" i="6"/>
  <c r="W34" i="6"/>
  <c r="W36" i="6" s="1"/>
  <c r="W19" i="6"/>
  <c r="W21" i="6" s="1"/>
  <c r="V28" i="4"/>
  <c r="V34" i="6"/>
  <c r="V36" i="6" s="1"/>
  <c r="V38" i="6" s="1"/>
  <c r="V19" i="6"/>
  <c r="V21" i="6" s="1"/>
  <c r="V23" i="6" s="1"/>
  <c r="U28" i="4"/>
  <c r="U30" i="4" s="1"/>
  <c r="U31" i="4" s="1"/>
  <c r="X17" i="6"/>
  <c r="Z15" i="6"/>
  <c r="Y17" i="4"/>
  <c r="Z30" i="6"/>
  <c r="Z18" i="4" l="1"/>
  <c r="Y22" i="4"/>
  <c r="Z17" i="6" s="1"/>
  <c r="Z21" i="4"/>
  <c r="Z12" i="4"/>
  <c r="AA15" i="6"/>
  <c r="W23" i="6"/>
  <c r="W38" i="6"/>
  <c r="X34" i="6"/>
  <c r="X36" i="6" s="1"/>
  <c r="X19" i="6"/>
  <c r="X21" i="6" s="1"/>
  <c r="W28" i="4"/>
  <c r="V30" i="4"/>
  <c r="Y17" i="6"/>
  <c r="Y32" i="6"/>
  <c r="Z17" i="4"/>
  <c r="AA30" i="6"/>
  <c r="Z22" i="4" l="1"/>
  <c r="AA17" i="6" s="1"/>
  <c r="X38" i="6"/>
  <c r="X23" i="6"/>
  <c r="Y34" i="6"/>
  <c r="Y36" i="6" s="1"/>
  <c r="Y19" i="6"/>
  <c r="Y21" i="6" s="1"/>
  <c r="X28" i="4"/>
  <c r="V31" i="4"/>
  <c r="W30" i="4"/>
  <c r="Y24" i="4"/>
  <c r="Z32" i="6"/>
  <c r="Y38" i="6" l="1"/>
  <c r="Y23" i="6"/>
  <c r="Y28" i="4"/>
  <c r="W31" i="4"/>
  <c r="X30" i="4"/>
  <c r="X31" i="4" s="1"/>
  <c r="Z24" i="4"/>
  <c r="AA32" i="6"/>
  <c r="Z34" i="6" l="1"/>
  <c r="Z36" i="6" s="1"/>
  <c r="Z38" i="6" s="1"/>
  <c r="Z19" i="6"/>
  <c r="Z21" i="6" s="1"/>
  <c r="Z23" i="6" s="1"/>
  <c r="Y30" i="4"/>
  <c r="Y31" i="4" s="1"/>
  <c r="AA34" i="6" l="1"/>
  <c r="AA36" i="6" s="1"/>
  <c r="AA38" i="6" s="1"/>
  <c r="AA19" i="6"/>
  <c r="AA21" i="6" s="1"/>
  <c r="AA23" i="6" s="1"/>
  <c r="Z28" i="4"/>
  <c r="Z30" i="4" s="1"/>
  <c r="Z31" i="4" s="1"/>
  <c r="F6" i="3" s="1"/>
</calcChain>
</file>

<file path=xl/sharedStrings.xml><?xml version="1.0" encoding="utf-8"?>
<sst xmlns="http://schemas.openxmlformats.org/spreadsheetml/2006/main" count="113" uniqueCount="81">
  <si>
    <t xml:space="preserve">Финансовая модель </t>
  </si>
  <si>
    <t>Ключевые показатели бизнеса и стоимость товаров/услуг</t>
  </si>
  <si>
    <t xml:space="preserve">Инвестиции </t>
  </si>
  <si>
    <t>Ключевые показатели бизнеса</t>
  </si>
  <si>
    <t>Для корректной работы финансовой модели включите макросы в верхнем меню (программа должна сама предложить это сделать)</t>
  </si>
  <si>
    <t>Окупаемость проекта (месяцев)</t>
  </si>
  <si>
    <t>Введите исходные данные. Цветом отмечены:</t>
  </si>
  <si>
    <t>- ячейки, которые необходимо заполнить</t>
  </si>
  <si>
    <t>- ячейки, которые не редактируются</t>
  </si>
  <si>
    <t>Исходные данные</t>
  </si>
  <si>
    <t>Выберите пакет</t>
  </si>
  <si>
    <t>Средний чек</t>
  </si>
  <si>
    <t>Первоначальные затраты на запуск</t>
  </si>
  <si>
    <t>руб.</t>
  </si>
  <si>
    <t>$</t>
  </si>
  <si>
    <t xml:space="preserve"> - курс доллара по ЦБ =</t>
  </si>
  <si>
    <t>(введите курс доллара)</t>
  </si>
  <si>
    <t>Паушальный взнос</t>
  </si>
  <si>
    <t>Роялти</t>
  </si>
  <si>
    <t>Прибыль</t>
  </si>
  <si>
    <t>Срок запуска, мес</t>
  </si>
  <si>
    <t>Площадь помещения, кв.м.</t>
  </si>
  <si>
    <t>Средняя стоимость аренды 1 м.кв. в вашем городе, руб.</t>
  </si>
  <si>
    <t>Аренда</t>
  </si>
  <si>
    <t>Товарный запас</t>
  </si>
  <si>
    <t>Финансовая модель</t>
  </si>
  <si>
    <t>ИТОГО</t>
  </si>
  <si>
    <t>Месяц</t>
  </si>
  <si>
    <t>Запуск</t>
  </si>
  <si>
    <t>Доходы</t>
  </si>
  <si>
    <t>Год 1</t>
  </si>
  <si>
    <t>Год 2</t>
  </si>
  <si>
    <t>Количество продаж</t>
  </si>
  <si>
    <t>Пакеты</t>
  </si>
  <si>
    <t>Итого доходы</t>
  </si>
  <si>
    <t>Инвестиции</t>
  </si>
  <si>
    <t>Расходы</t>
  </si>
  <si>
    <t>Налоги</t>
  </si>
  <si>
    <t>Себестоимость продукции</t>
  </si>
  <si>
    <t>Прибыль нарастающим итогом</t>
  </si>
  <si>
    <t>Расходы на связь</t>
  </si>
  <si>
    <t>Комиссия по эквайрингу</t>
  </si>
  <si>
    <t>Страховые взносы</t>
  </si>
  <si>
    <t>Итого расходы</t>
  </si>
  <si>
    <t>Прибыль без учета налогов</t>
  </si>
  <si>
    <t>Чистая прибыль нарастающим итогом</t>
  </si>
  <si>
    <t>Рекламный бюджет таргет рекламы</t>
  </si>
  <si>
    <t>Бухгалтерия</t>
  </si>
  <si>
    <t>- выбрать</t>
  </si>
  <si>
    <t>Количество</t>
  </si>
  <si>
    <t>пакеты</t>
  </si>
  <si>
    <t>Персонал</t>
  </si>
  <si>
    <t>Оклад</t>
  </si>
  <si>
    <t>Среднее к-во чеков</t>
  </si>
  <si>
    <t>Маркетинг</t>
  </si>
  <si>
    <t>Базовый</t>
  </si>
  <si>
    <t>Оптимальный</t>
  </si>
  <si>
    <t>Эксклюзив</t>
  </si>
  <si>
    <t>Консультант</t>
  </si>
  <si>
    <t>Выберите формат</t>
  </si>
  <si>
    <t>Стойка</t>
  </si>
  <si>
    <t>Остров</t>
  </si>
  <si>
    <t>Бутик</t>
  </si>
  <si>
    <t>- заполнить</t>
  </si>
  <si>
    <t>Арендный депозит</t>
  </si>
  <si>
    <t>Эквайринг</t>
  </si>
  <si>
    <t>Система видеонаблюдения</t>
  </si>
  <si>
    <t>Зарплата на след мес. сотрудникам</t>
  </si>
  <si>
    <t>Налог ЕНВД</t>
  </si>
  <si>
    <t>Зарплата консультанта</t>
  </si>
  <si>
    <t>Бюджет на маркетинг в месяц</t>
  </si>
  <si>
    <t>Наценка на продукцию</t>
  </si>
  <si>
    <t>Сезонность</t>
  </si>
  <si>
    <t>Ведение соц. сетей (реклама + контент)</t>
  </si>
  <si>
    <t>Количество точек</t>
  </si>
  <si>
    <t>Покупка острова</t>
  </si>
  <si>
    <t>Премия 
(от выручки)</t>
  </si>
  <si>
    <t>зависит от к-ва точек</t>
  </si>
  <si>
    <t>Финансовые показатели. Пакет "Базовый"</t>
  </si>
  <si>
    <t>Финансовые показатели. Пакет "Оптимальный"</t>
  </si>
  <si>
    <t>Касса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</si>
</sst>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#,##0.00\ &quot;₽&quot;"/>
    <numFmt numFmtId="166" formatCode="0.00_ ;[Red]\-0.00\ "/>
    <numFmt numFmtId="167" formatCode="0_ ;[Red]\-0\ "/>
    <numFmt numFmtId="168" formatCode="[$-419]mmmm"/>
    <numFmt numFmtId="169" formatCode="[$-419]mmmm;@"/>
  </numFmts>
  <fonts count="37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6"/>
      <color rgb="FF000000"/>
      <name val="Calibri"/>
    </font>
    <font>
      <sz val="11"/>
      <name val="Calibri"/>
    </font>
    <font>
      <b/>
      <sz val="14"/>
      <color rgb="FFFFFFFF"/>
      <name val="Calibri"/>
    </font>
    <font>
      <b/>
      <sz val="11"/>
      <color rgb="FFFFFFFF"/>
      <name val="Calibri"/>
    </font>
    <font>
      <b/>
      <sz val="12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2"/>
      <color rgb="FF000000"/>
      <name val="Calibri"/>
    </font>
    <font>
      <sz val="11"/>
      <name val="Calibri"/>
    </font>
    <font>
      <i/>
      <sz val="11"/>
      <color rgb="FF000000"/>
      <name val="Calibri"/>
    </font>
    <font>
      <b/>
      <sz val="20"/>
      <name val="Calibri"/>
    </font>
    <font>
      <b/>
      <sz val="11"/>
      <color rgb="FF000000"/>
      <name val="Calibri"/>
    </font>
    <font>
      <b/>
      <sz val="14"/>
      <name val="Calibri"/>
    </font>
    <font>
      <b/>
      <sz val="12"/>
      <color rgb="FFFFFFFF"/>
      <name val="Calibri"/>
    </font>
    <font>
      <b/>
      <sz val="12"/>
      <name val="Calibri"/>
    </font>
    <font>
      <sz val="12"/>
      <name val="Calibri"/>
    </font>
    <font>
      <b/>
      <sz val="18"/>
      <color rgb="FFFFFFFF"/>
      <name val="Calibri"/>
    </font>
    <font>
      <sz val="9"/>
      <color rgb="FF000000"/>
      <name val="Calibri"/>
    </font>
    <font>
      <b/>
      <sz val="14"/>
      <color rgb="FF000000"/>
      <name val="Calibri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FFFFFF"/>
      <name val="Calibri"/>
      <family val="2"/>
      <charset val="204"/>
    </font>
    <font>
      <b/>
      <sz val="12"/>
      <name val="Calibri"/>
      <family val="2"/>
      <charset val="204"/>
    </font>
    <font>
      <sz val="16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color theme="0"/>
      <name val="Calibri"/>
      <family val="2"/>
      <charset val="204"/>
    </font>
    <font>
      <i/>
      <sz val="11"/>
      <color theme="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DB9CA"/>
        <bgColor rgb="FFADB9CA"/>
      </patternFill>
    </fill>
    <fill>
      <patternFill patternType="solid">
        <fgColor rgb="FF00B050"/>
        <bgColor rgb="FF00B050"/>
      </patternFill>
    </fill>
    <fill>
      <patternFill patternType="solid">
        <fgColor rgb="FFECECEC"/>
        <bgColor rgb="FFECECEC"/>
      </patternFill>
    </fill>
    <fill>
      <patternFill patternType="solid">
        <fgColor rgb="FFFCFF89"/>
        <bgColor rgb="FFFCFF89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6C6A8"/>
        <bgColor rgb="FFC6C6A8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FF8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2"/>
        <bgColor rgb="FFECECEC"/>
      </patternFill>
    </fill>
    <fill>
      <patternFill patternType="solid">
        <fgColor theme="0"/>
        <bgColor rgb="FFECECEC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6"/>
    <xf numFmtId="9" fontId="21" fillId="0" borderId="16" applyFont="0" applyFill="0" applyBorder="0" applyAlignment="0" applyProtection="0"/>
    <xf numFmtId="0" fontId="21" fillId="0" borderId="16"/>
  </cellStyleXfs>
  <cellXfs count="250">
    <xf numFmtId="0" fontId="0" fillId="0" borderId="0" xfId="0" applyFont="1" applyAlignment="1"/>
    <xf numFmtId="0" fontId="0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11" fillId="2" borderId="1" xfId="0" quotePrefix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0" borderId="13" xfId="0" applyFont="1" applyBorder="1"/>
    <xf numFmtId="0" fontId="11" fillId="2" borderId="1" xfId="0" quotePrefix="1" applyFont="1" applyFill="1" applyBorder="1"/>
    <xf numFmtId="0" fontId="11" fillId="2" borderId="1" xfId="0" applyFont="1" applyFill="1" applyBorder="1"/>
    <xf numFmtId="165" fontId="13" fillId="7" borderId="1" xfId="0" applyNumberFormat="1" applyFont="1" applyFill="1" applyBorder="1" applyAlignment="1">
      <alignment horizontal="center"/>
    </xf>
    <xf numFmtId="0" fontId="0" fillId="0" borderId="0" xfId="0" applyFont="1" applyAlignment="1"/>
    <xf numFmtId="166" fontId="0" fillId="2" borderId="1" xfId="0" applyNumberFormat="1" applyFont="1" applyFill="1" applyBorder="1"/>
    <xf numFmtId="166" fontId="0" fillId="0" borderId="0" xfId="0" applyNumberFormat="1" applyFont="1"/>
    <xf numFmtId="166" fontId="0" fillId="8" borderId="25" xfId="0" applyNumberFormat="1" applyFont="1" applyFill="1" applyBorder="1" applyAlignment="1">
      <alignment horizontal="center" wrapText="1"/>
    </xf>
    <xf numFmtId="166" fontId="0" fillId="8" borderId="26" xfId="0" applyNumberFormat="1" applyFont="1" applyFill="1" applyBorder="1" applyAlignment="1">
      <alignment horizontal="center" wrapText="1"/>
    </xf>
    <xf numFmtId="167" fontId="0" fillId="8" borderId="27" xfId="0" applyNumberFormat="1" applyFont="1" applyFill="1" applyBorder="1" applyAlignment="1">
      <alignment horizontal="center" wrapText="1"/>
    </xf>
    <xf numFmtId="167" fontId="0" fillId="8" borderId="21" xfId="0" applyNumberFormat="1" applyFont="1" applyFill="1" applyBorder="1" applyAlignment="1">
      <alignment horizontal="center" wrapText="1"/>
    </xf>
    <xf numFmtId="166" fontId="6" fillId="8" borderId="28" xfId="0" applyNumberFormat="1" applyFont="1" applyFill="1" applyBorder="1" applyAlignment="1">
      <alignment horizontal="left" wrapText="1"/>
    </xf>
    <xf numFmtId="166" fontId="6" fillId="2" borderId="32" xfId="0" applyNumberFormat="1" applyFont="1" applyFill="1" applyBorder="1" applyAlignment="1">
      <alignment horizontal="left" wrapText="1"/>
    </xf>
    <xf numFmtId="166" fontId="0" fillId="2" borderId="33" xfId="0" applyNumberFormat="1" applyFont="1" applyFill="1" applyBorder="1"/>
    <xf numFmtId="166" fontId="6" fillId="2" borderId="25" xfId="0" applyNumberFormat="1" applyFont="1" applyFill="1" applyBorder="1" applyAlignment="1">
      <alignment horizontal="left" wrapText="1"/>
    </xf>
    <xf numFmtId="166" fontId="19" fillId="2" borderId="38" xfId="0" applyNumberFormat="1" applyFont="1" applyFill="1" applyBorder="1"/>
    <xf numFmtId="0" fontId="13" fillId="4" borderId="24" xfId="0" applyFont="1" applyFill="1" applyBorder="1" applyAlignment="1">
      <alignment vertical="center"/>
    </xf>
    <xf numFmtId="0" fontId="13" fillId="4" borderId="20" xfId="0" applyFont="1" applyFill="1" applyBorder="1" applyAlignment="1">
      <alignment horizontal="center" vertical="center" wrapText="1"/>
    </xf>
    <xf numFmtId="0" fontId="0" fillId="0" borderId="19" xfId="0" applyFont="1" applyBorder="1"/>
    <xf numFmtId="3" fontId="0" fillId="0" borderId="19" xfId="0" applyNumberFormat="1" applyFont="1" applyBorder="1" applyAlignment="1">
      <alignment horizontal="center"/>
    </xf>
    <xf numFmtId="0" fontId="0" fillId="0" borderId="17" xfId="0" applyFont="1" applyBorder="1"/>
    <xf numFmtId="166" fontId="6" fillId="9" borderId="28" xfId="0" applyNumberFormat="1" applyFont="1" applyFill="1" applyBorder="1" applyAlignment="1">
      <alignment horizontal="left" wrapText="1"/>
    </xf>
    <xf numFmtId="9" fontId="0" fillId="0" borderId="17" xfId="0" applyNumberFormat="1" applyFont="1" applyBorder="1" applyAlignment="1">
      <alignment horizontal="center"/>
    </xf>
    <xf numFmtId="0" fontId="0" fillId="0" borderId="22" xfId="0" applyFont="1" applyBorder="1"/>
    <xf numFmtId="3" fontId="0" fillId="0" borderId="22" xfId="0" applyNumberFormat="1" applyFont="1" applyBorder="1" applyAlignment="1">
      <alignment horizontal="center"/>
    </xf>
    <xf numFmtId="166" fontId="9" fillId="2" borderId="32" xfId="0" applyNumberFormat="1" applyFont="1" applyFill="1" applyBorder="1" applyAlignment="1">
      <alignment wrapText="1"/>
    </xf>
    <xf numFmtId="0" fontId="13" fillId="4" borderId="27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168" fontId="0" fillId="2" borderId="30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167" fontId="0" fillId="0" borderId="47" xfId="0" applyNumberFormat="1" applyFont="1" applyBorder="1" applyAlignment="1">
      <alignment horizontal="center"/>
    </xf>
    <xf numFmtId="167" fontId="0" fillId="0" borderId="48" xfId="0" applyNumberFormat="1" applyFont="1" applyBorder="1" applyAlignment="1">
      <alignment horizontal="center" vertical="center"/>
    </xf>
    <xf numFmtId="167" fontId="0" fillId="0" borderId="49" xfId="0" applyNumberFormat="1" applyFont="1" applyBorder="1" applyAlignment="1">
      <alignment horizontal="center" vertical="center"/>
    </xf>
    <xf numFmtId="0" fontId="0" fillId="8" borderId="1" xfId="0" applyFont="1" applyFill="1" applyBorder="1"/>
    <xf numFmtId="0" fontId="9" fillId="8" borderId="50" xfId="0" applyFont="1" applyFill="1" applyBorder="1" applyAlignment="1">
      <alignment horizontal="left"/>
    </xf>
    <xf numFmtId="167" fontId="0" fillId="8" borderId="40" xfId="0" applyNumberFormat="1" applyFont="1" applyFill="1" applyBorder="1" applyAlignment="1">
      <alignment horizontal="left"/>
    </xf>
    <xf numFmtId="167" fontId="0" fillId="8" borderId="40" xfId="0" applyNumberFormat="1" applyFont="1" applyFill="1" applyBorder="1"/>
    <xf numFmtId="167" fontId="0" fillId="8" borderId="41" xfId="0" applyNumberFormat="1" applyFont="1" applyFill="1" applyBorder="1"/>
    <xf numFmtId="0" fontId="6" fillId="0" borderId="18" xfId="0" applyFont="1" applyBorder="1"/>
    <xf numFmtId="167" fontId="0" fillId="0" borderId="36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 vertical="center"/>
    </xf>
    <xf numFmtId="167" fontId="0" fillId="0" borderId="41" xfId="0" applyNumberFormat="1" applyFont="1" applyBorder="1" applyAlignment="1">
      <alignment horizontal="center" vertical="center"/>
    </xf>
    <xf numFmtId="0" fontId="9" fillId="8" borderId="50" xfId="0" applyFont="1" applyFill="1" applyBorder="1"/>
    <xf numFmtId="167" fontId="0" fillId="0" borderId="40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167" fontId="0" fillId="0" borderId="51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6" fontId="6" fillId="10" borderId="28" xfId="0" applyNumberFormat="1" applyFont="1" applyFill="1" applyBorder="1" applyAlignment="1">
      <alignment horizontal="left" wrapText="1"/>
    </xf>
    <xf numFmtId="166" fontId="6" fillId="3" borderId="18" xfId="0" applyNumberFormat="1" applyFont="1" applyFill="1" applyBorder="1" applyAlignment="1">
      <alignment horizontal="left" vertical="center" wrapText="1"/>
    </xf>
    <xf numFmtId="166" fontId="20" fillId="0" borderId="0" xfId="0" applyNumberFormat="1" applyFont="1"/>
    <xf numFmtId="166" fontId="20" fillId="2" borderId="1" xfId="0" applyNumberFormat="1" applyFont="1" applyFill="1" applyBorder="1"/>
    <xf numFmtId="166" fontId="6" fillId="2" borderId="32" xfId="0" applyNumberFormat="1" applyFont="1" applyFill="1" applyBorder="1" applyAlignment="1">
      <alignment wrapText="1"/>
    </xf>
    <xf numFmtId="166" fontId="15" fillId="4" borderId="18" xfId="0" applyNumberFormat="1" applyFont="1" applyFill="1" applyBorder="1" applyAlignment="1">
      <alignment horizontal="left" vertical="center" wrapText="1"/>
    </xf>
    <xf numFmtId="166" fontId="13" fillId="11" borderId="18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Alignment="1">
      <alignment vertical="center"/>
    </xf>
    <xf numFmtId="166" fontId="0" fillId="2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0" fillId="2" borderId="16" xfId="0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 wrapText="1"/>
    </xf>
    <xf numFmtId="169" fontId="0" fillId="8" borderId="29" xfId="0" applyNumberFormat="1" applyFont="1" applyFill="1" applyBorder="1" applyAlignment="1">
      <alignment horizontal="center"/>
    </xf>
    <xf numFmtId="169" fontId="0" fillId="8" borderId="30" xfId="0" applyNumberFormat="1" applyFont="1" applyFill="1" applyBorder="1" applyAlignment="1">
      <alignment horizontal="center"/>
    </xf>
    <xf numFmtId="169" fontId="0" fillId="2" borderId="1" xfId="0" applyNumberFormat="1" applyFont="1" applyFill="1" applyBorder="1"/>
    <xf numFmtId="3" fontId="9" fillId="5" borderId="61" xfId="0" applyNumberFormat="1" applyFont="1" applyFill="1" applyBorder="1" applyAlignment="1">
      <alignment horizontal="center" vertical="center"/>
    </xf>
    <xf numFmtId="3" fontId="9" fillId="5" borderId="54" xfId="0" applyNumberFormat="1" applyFont="1" applyFill="1" applyBorder="1" applyAlignment="1">
      <alignment horizontal="center" vertical="center"/>
    </xf>
    <xf numFmtId="166" fontId="0" fillId="2" borderId="16" xfId="0" applyNumberFormat="1" applyFont="1" applyFill="1" applyBorder="1"/>
    <xf numFmtId="0" fontId="19" fillId="2" borderId="38" xfId="0" applyNumberFormat="1" applyFont="1" applyFill="1" applyBorder="1" applyAlignment="1">
      <alignment horizontal="left"/>
    </xf>
    <xf numFmtId="0" fontId="23" fillId="2" borderId="38" xfId="0" applyNumberFormat="1" applyFont="1" applyFill="1" applyBorder="1" applyAlignment="1">
      <alignment horizontal="left"/>
    </xf>
    <xf numFmtId="0" fontId="23" fillId="2" borderId="38" xfId="0" applyNumberFormat="1" applyFont="1" applyFill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0" fillId="2" borderId="16" xfId="0" applyFont="1" applyFill="1" applyBorder="1"/>
    <xf numFmtId="0" fontId="0" fillId="2" borderId="16" xfId="0" applyFont="1" applyFill="1" applyBorder="1" applyAlignment="1">
      <alignment horizontal="center" vertical="center" wrapText="1"/>
    </xf>
    <xf numFmtId="166" fontId="0" fillId="14" borderId="1" xfId="0" applyNumberFormat="1" applyFont="1" applyFill="1" applyBorder="1"/>
    <xf numFmtId="0" fontId="0" fillId="12" borderId="0" xfId="0" applyFont="1" applyFill="1" applyAlignment="1"/>
    <xf numFmtId="169" fontId="25" fillId="0" borderId="0" xfId="0" applyNumberFormat="1" applyFont="1"/>
    <xf numFmtId="0" fontId="23" fillId="14" borderId="63" xfId="0" applyNumberFormat="1" applyFont="1" applyFill="1" applyBorder="1" applyAlignment="1">
      <alignment horizontal="left"/>
    </xf>
    <xf numFmtId="0" fontId="0" fillId="0" borderId="0" xfId="0" applyFont="1" applyAlignment="1"/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28" fillId="2" borderId="1" xfId="0" quotePrefix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16" xfId="0" quotePrefix="1" applyFont="1" applyFill="1" applyBorder="1" applyAlignment="1">
      <alignment vertical="center"/>
    </xf>
    <xf numFmtId="166" fontId="24" fillId="6" borderId="18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12" borderId="16" xfId="0" applyFont="1" applyFill="1" applyBorder="1" applyAlignment="1"/>
    <xf numFmtId="0" fontId="2" fillId="15" borderId="16" xfId="0" applyFont="1" applyFill="1" applyBorder="1" applyAlignment="1">
      <alignment vertical="center" wrapText="1"/>
    </xf>
    <xf numFmtId="0" fontId="14" fillId="14" borderId="16" xfId="0" applyFont="1" applyFill="1" applyBorder="1" applyAlignment="1">
      <alignment horizontal="center" vertical="center"/>
    </xf>
    <xf numFmtId="0" fontId="15" fillId="15" borderId="16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left" vertical="center" wrapText="1"/>
    </xf>
    <xf numFmtId="3" fontId="17" fillId="12" borderId="16" xfId="0" applyNumberFormat="1" applyFont="1" applyFill="1" applyBorder="1" applyAlignment="1">
      <alignment horizontal="center" vertical="center" wrapText="1"/>
    </xf>
    <xf numFmtId="9" fontId="17" fillId="12" borderId="16" xfId="0" applyNumberFormat="1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164" fontId="17" fillId="12" borderId="16" xfId="0" applyNumberFormat="1" applyFont="1" applyFill="1" applyBorder="1" applyAlignment="1">
      <alignment horizontal="center" vertical="center" wrapText="1"/>
    </xf>
    <xf numFmtId="0" fontId="32" fillId="2" borderId="16" xfId="0" quotePrefix="1" applyFont="1" applyFill="1" applyBorder="1" applyAlignment="1">
      <alignment vertical="center" wrapText="1"/>
    </xf>
    <xf numFmtId="3" fontId="9" fillId="16" borderId="66" xfId="0" applyNumberFormat="1" applyFont="1" applyFill="1" applyBorder="1" applyAlignment="1">
      <alignment horizontal="center" vertical="center"/>
    </xf>
    <xf numFmtId="3" fontId="9" fillId="5" borderId="68" xfId="0" applyNumberFormat="1" applyFont="1" applyFill="1" applyBorder="1" applyAlignment="1">
      <alignment horizontal="center" vertical="center"/>
    </xf>
    <xf numFmtId="9" fontId="9" fillId="5" borderId="70" xfId="0" applyNumberFormat="1" applyFont="1" applyFill="1" applyBorder="1" applyAlignment="1">
      <alignment horizontal="center" vertical="center"/>
    </xf>
    <xf numFmtId="0" fontId="0" fillId="14" borderId="16" xfId="0" applyFont="1" applyFill="1" applyBorder="1"/>
    <xf numFmtId="0" fontId="30" fillId="15" borderId="16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24" fillId="12" borderId="16" xfId="0" applyFont="1" applyFill="1" applyBorder="1" applyAlignment="1">
      <alignment horizontal="left" vertical="center" wrapText="1"/>
    </xf>
    <xf numFmtId="3" fontId="9" fillId="17" borderId="16" xfId="0" applyNumberFormat="1" applyFont="1" applyFill="1" applyBorder="1" applyAlignment="1">
      <alignment horizontal="center" vertical="center"/>
    </xf>
    <xf numFmtId="0" fontId="25" fillId="14" borderId="16" xfId="0" applyFont="1" applyFill="1" applyBorder="1" applyAlignment="1">
      <alignment vertical="center"/>
    </xf>
    <xf numFmtId="0" fontId="25" fillId="14" borderId="1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16" xfId="0" applyFont="1" applyBorder="1"/>
    <xf numFmtId="3" fontId="9" fillId="16" borderId="58" xfId="0" applyNumberFormat="1" applyFont="1" applyFill="1" applyBorder="1" applyAlignment="1">
      <alignment horizontal="center" vertical="center"/>
    </xf>
    <xf numFmtId="3" fontId="9" fillId="16" borderId="55" xfId="0" applyNumberFormat="1" applyFont="1" applyFill="1" applyBorder="1" applyAlignment="1">
      <alignment horizontal="center" vertical="center"/>
    </xf>
    <xf numFmtId="3" fontId="9" fillId="5" borderId="77" xfId="0" applyNumberFormat="1" applyFont="1" applyFill="1" applyBorder="1" applyAlignment="1">
      <alignment horizontal="center" vertical="center"/>
    </xf>
    <xf numFmtId="3" fontId="6" fillId="5" borderId="56" xfId="0" applyNumberFormat="1" applyFont="1" applyFill="1" applyBorder="1" applyAlignment="1">
      <alignment horizontal="center" vertical="center"/>
    </xf>
    <xf numFmtId="3" fontId="6" fillId="5" borderId="52" xfId="0" applyNumberFormat="1" applyFont="1" applyFill="1" applyBorder="1" applyAlignment="1">
      <alignment horizontal="center" vertical="center"/>
    </xf>
    <xf numFmtId="166" fontId="19" fillId="2" borderId="32" xfId="0" applyNumberFormat="1" applyFont="1" applyFill="1" applyBorder="1"/>
    <xf numFmtId="166" fontId="13" fillId="2" borderId="67" xfId="0" applyNumberFormat="1" applyFont="1" applyFill="1" applyBorder="1" applyAlignment="1">
      <alignment horizontal="center"/>
    </xf>
    <xf numFmtId="9" fontId="3" fillId="0" borderId="65" xfId="0" applyNumberFormat="1" applyFont="1" applyBorder="1"/>
    <xf numFmtId="3" fontId="0" fillId="2" borderId="47" xfId="0" applyNumberFormat="1" applyFont="1" applyFill="1" applyBorder="1"/>
    <xf numFmtId="3" fontId="0" fillId="2" borderId="48" xfId="0" applyNumberFormat="1" applyFont="1" applyFill="1" applyBorder="1"/>
    <xf numFmtId="3" fontId="13" fillId="9" borderId="39" xfId="0" applyNumberFormat="1" applyFont="1" applyFill="1" applyBorder="1"/>
    <xf numFmtId="3" fontId="13" fillId="9" borderId="40" xfId="0" applyNumberFormat="1" applyFont="1" applyFill="1" applyBorder="1"/>
    <xf numFmtId="3" fontId="0" fillId="2" borderId="1" xfId="0" applyNumberFormat="1" applyFont="1" applyFill="1" applyBorder="1"/>
    <xf numFmtId="3" fontId="0" fillId="2" borderId="33" xfId="0" applyNumberFormat="1" applyFont="1" applyFill="1" applyBorder="1"/>
    <xf numFmtId="3" fontId="0" fillId="2" borderId="39" xfId="0" applyNumberFormat="1" applyFont="1" applyFill="1" applyBorder="1"/>
    <xf numFmtId="3" fontId="0" fillId="2" borderId="40" xfId="0" applyNumberFormat="1" applyFont="1" applyFill="1" applyBorder="1"/>
    <xf numFmtId="3" fontId="0" fillId="14" borderId="39" xfId="0" applyNumberFormat="1" applyFont="1" applyFill="1" applyBorder="1"/>
    <xf numFmtId="3" fontId="0" fillId="14" borderId="40" xfId="0" applyNumberFormat="1" applyFont="1" applyFill="1" applyBorder="1"/>
    <xf numFmtId="3" fontId="0" fillId="2" borderId="41" xfId="0" applyNumberFormat="1" applyFont="1" applyFill="1" applyBorder="1"/>
    <xf numFmtId="3" fontId="13" fillId="10" borderId="39" xfId="0" applyNumberFormat="1" applyFont="1" applyFill="1" applyBorder="1"/>
    <xf numFmtId="3" fontId="13" fillId="10" borderId="40" xfId="0" applyNumberFormat="1" applyFont="1" applyFill="1" applyBorder="1"/>
    <xf numFmtId="3" fontId="6" fillId="3" borderId="39" xfId="0" applyNumberFormat="1" applyFont="1" applyFill="1" applyBorder="1" applyAlignment="1">
      <alignment vertical="center"/>
    </xf>
    <xf numFmtId="3" fontId="6" fillId="3" borderId="40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3" fontId="6" fillId="6" borderId="39" xfId="0" applyNumberFormat="1" applyFont="1" applyFill="1" applyBorder="1" applyAlignment="1">
      <alignment vertical="center"/>
    </xf>
    <xf numFmtId="3" fontId="15" fillId="4" borderId="39" xfId="0" applyNumberFormat="1" applyFont="1" applyFill="1" applyBorder="1" applyAlignment="1">
      <alignment vertical="center"/>
    </xf>
    <xf numFmtId="3" fontId="15" fillId="4" borderId="40" xfId="0" applyNumberFormat="1" applyFont="1" applyFill="1" applyBorder="1" applyAlignment="1">
      <alignment vertical="center"/>
    </xf>
    <xf numFmtId="3" fontId="15" fillId="4" borderId="41" xfId="0" applyNumberFormat="1" applyFont="1" applyFill="1" applyBorder="1" applyAlignment="1">
      <alignment vertical="center"/>
    </xf>
    <xf numFmtId="3" fontId="0" fillId="11" borderId="29" xfId="0" applyNumberFormat="1" applyFont="1" applyFill="1" applyBorder="1" applyAlignment="1">
      <alignment vertical="center"/>
    </xf>
    <xf numFmtId="3" fontId="0" fillId="11" borderId="23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3" fontId="9" fillId="16" borderId="68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33" fillId="2" borderId="16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/>
    <xf numFmtId="0" fontId="23" fillId="0" borderId="38" xfId="0" applyNumberFormat="1" applyFont="1" applyFill="1" applyBorder="1" applyAlignment="1">
      <alignment horizontal="left"/>
    </xf>
    <xf numFmtId="3" fontId="0" fillId="0" borderId="39" xfId="0" applyNumberFormat="1" applyFont="1" applyFill="1" applyBorder="1"/>
    <xf numFmtId="3" fontId="0" fillId="0" borderId="40" xfId="0" applyNumberFormat="1" applyFont="1" applyFill="1" applyBorder="1"/>
    <xf numFmtId="166" fontId="0" fillId="0" borderId="16" xfId="0" applyNumberFormat="1" applyFont="1" applyFill="1" applyBorder="1"/>
    <xf numFmtId="0" fontId="0" fillId="0" borderId="0" xfId="0" applyFont="1" applyFill="1" applyAlignment="1"/>
    <xf numFmtId="0" fontId="34" fillId="0" borderId="16" xfId="0" applyFont="1" applyBorder="1" applyAlignment="1">
      <alignment vertical="center" wrapText="1"/>
    </xf>
    <xf numFmtId="0" fontId="33" fillId="0" borderId="0" xfId="0" applyFont="1"/>
    <xf numFmtId="0" fontId="35" fillId="2" borderId="1" xfId="0" quotePrefix="1" applyFont="1" applyFill="1" applyBorder="1" applyAlignment="1">
      <alignment vertical="center"/>
    </xf>
    <xf numFmtId="0" fontId="9" fillId="0" borderId="65" xfId="0" applyFont="1" applyBorder="1" applyAlignment="1">
      <alignment vertical="center" wrapText="1"/>
    </xf>
    <xf numFmtId="3" fontId="9" fillId="6" borderId="65" xfId="0" applyNumberFormat="1" applyFont="1" applyFill="1" applyBorder="1" applyAlignment="1">
      <alignment horizontal="center" vertical="center"/>
    </xf>
    <xf numFmtId="0" fontId="26" fillId="0" borderId="65" xfId="0" applyFont="1" applyBorder="1" applyAlignment="1">
      <alignment vertical="center" wrapText="1"/>
    </xf>
    <xf numFmtId="3" fontId="9" fillId="5" borderId="65" xfId="0" applyNumberFormat="1" applyFont="1" applyFill="1" applyBorder="1" applyAlignment="1">
      <alignment horizontal="center" vertical="center"/>
    </xf>
    <xf numFmtId="9" fontId="9" fillId="5" borderId="65" xfId="0" applyNumberFormat="1" applyFont="1" applyFill="1" applyBorder="1" applyAlignment="1">
      <alignment horizontal="center" vertical="center"/>
    </xf>
    <xf numFmtId="3" fontId="9" fillId="16" borderId="65" xfId="0" applyNumberFormat="1" applyFont="1" applyFill="1" applyBorder="1" applyAlignment="1">
      <alignment horizontal="center" vertical="center"/>
    </xf>
    <xf numFmtId="0" fontId="9" fillId="0" borderId="82" xfId="0" applyFont="1" applyBorder="1" applyAlignment="1">
      <alignment vertical="center" wrapText="1"/>
    </xf>
    <xf numFmtId="3" fontId="9" fillId="6" borderId="82" xfId="0" applyNumberFormat="1" applyFont="1" applyFill="1" applyBorder="1" applyAlignment="1">
      <alignment horizontal="center" vertical="center"/>
    </xf>
    <xf numFmtId="0" fontId="25" fillId="0" borderId="0" xfId="0" applyFont="1"/>
    <xf numFmtId="3" fontId="25" fillId="0" borderId="0" xfId="0" applyNumberFormat="1" applyFont="1"/>
    <xf numFmtId="0" fontId="25" fillId="0" borderId="0" xfId="0" applyFont="1" applyAlignment="1"/>
    <xf numFmtId="0" fontId="34" fillId="13" borderId="1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0" fontId="26" fillId="0" borderId="82" xfId="0" applyFont="1" applyBorder="1" applyAlignment="1">
      <alignment horizontal="left" vertical="center" wrapText="1"/>
    </xf>
    <xf numFmtId="3" fontId="9" fillId="16" borderId="82" xfId="0" applyNumberFormat="1" applyFont="1" applyFill="1" applyBorder="1" applyAlignment="1">
      <alignment horizontal="center" vertical="center"/>
    </xf>
    <xf numFmtId="9" fontId="9" fillId="16" borderId="82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30" fillId="4" borderId="56" xfId="0" applyFont="1" applyFill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left"/>
    </xf>
    <xf numFmtId="166" fontId="25" fillId="0" borderId="0" xfId="0" applyNumberFormat="1" applyFont="1" applyFill="1"/>
    <xf numFmtId="167" fontId="25" fillId="0" borderId="0" xfId="0" applyNumberFormat="1" applyFont="1" applyFill="1"/>
    <xf numFmtId="0" fontId="22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6" fillId="0" borderId="53" xfId="0" applyFont="1" applyBorder="1" applyAlignment="1">
      <alignment wrapText="1"/>
    </xf>
    <xf numFmtId="0" fontId="3" fillId="0" borderId="78" xfId="0" applyFont="1" applyBorder="1"/>
    <xf numFmtId="0" fontId="26" fillId="0" borderId="59" xfId="0" applyFont="1" applyBorder="1" applyAlignment="1">
      <alignment horizontal="left" vertical="center"/>
    </xf>
    <xf numFmtId="0" fontId="26" fillId="0" borderId="73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74" xfId="0" applyFont="1" applyBorder="1" applyAlignment="1">
      <alignment horizontal="left" vertical="center"/>
    </xf>
    <xf numFmtId="0" fontId="26" fillId="0" borderId="75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9" fillId="14" borderId="16" xfId="0" applyFont="1" applyFill="1" applyBorder="1" applyAlignment="1">
      <alignment horizontal="center" vertical="center" wrapText="1"/>
    </xf>
    <xf numFmtId="0" fontId="3" fillId="12" borderId="16" xfId="0" applyFont="1" applyFill="1" applyBorder="1"/>
    <xf numFmtId="0" fontId="2" fillId="3" borderId="2" xfId="0" applyFont="1" applyFill="1" applyBorder="1" applyAlignment="1">
      <alignment vertical="center" wrapText="1"/>
    </xf>
    <xf numFmtId="0" fontId="3" fillId="0" borderId="10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2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4" fillId="0" borderId="67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3" fontId="13" fillId="2" borderId="34" xfId="0" applyNumberFormat="1" applyFont="1" applyFill="1" applyBorder="1" applyAlignment="1">
      <alignment horizontal="center"/>
    </xf>
    <xf numFmtId="3" fontId="3" fillId="0" borderId="35" xfId="0" applyNumberFormat="1" applyFont="1" applyBorder="1"/>
    <xf numFmtId="3" fontId="3" fillId="0" borderId="36" xfId="0" applyNumberFormat="1" applyFont="1" applyBorder="1"/>
    <xf numFmtId="3" fontId="13" fillId="2" borderId="37" xfId="0" applyNumberFormat="1" applyFont="1" applyFill="1" applyBorder="1" applyAlignment="1">
      <alignment horizontal="center"/>
    </xf>
    <xf numFmtId="3" fontId="3" fillId="0" borderId="15" xfId="0" applyNumberFormat="1" applyFont="1" applyBorder="1"/>
    <xf numFmtId="166" fontId="18" fillId="4" borderId="5" xfId="0" applyNumberFormat="1" applyFont="1" applyFill="1" applyBorder="1" applyAlignment="1">
      <alignment horizontal="center" vertical="center" wrapText="1"/>
    </xf>
    <xf numFmtId="166" fontId="13" fillId="2" borderId="79" xfId="0" applyNumberFormat="1" applyFont="1" applyFill="1" applyBorder="1" applyAlignment="1">
      <alignment horizontal="center"/>
    </xf>
    <xf numFmtId="0" fontId="3" fillId="0" borderId="79" xfId="0" applyFont="1" applyBorder="1"/>
    <xf numFmtId="0" fontId="3" fillId="0" borderId="80" xfId="0" applyFont="1" applyBorder="1"/>
    <xf numFmtId="166" fontId="13" fillId="2" borderId="81" xfId="0" applyNumberFormat="1" applyFont="1" applyFill="1" applyBorder="1" applyAlignment="1">
      <alignment horizontal="center"/>
    </xf>
    <xf numFmtId="0" fontId="3" fillId="0" borderId="64" xfId="0" applyFont="1" applyBorder="1"/>
    <xf numFmtId="0" fontId="36" fillId="0" borderId="0" xfId="0" applyFont="1" applyAlignment="1">
      <alignment horizontal="center" vertical="center"/>
    </xf>
    <xf numFmtId="0" fontId="0" fillId="0" borderId="0" xfId="0" applyFont="1" applyAlignment="1"/>
    <xf numFmtId="0" fontId="13" fillId="4" borderId="42" xfId="0" applyFont="1" applyFill="1" applyBorder="1" applyAlignment="1">
      <alignment horizontal="center" vertical="center"/>
    </xf>
    <xf numFmtId="0" fontId="3" fillId="0" borderId="44" xfId="0" applyFont="1" applyBorder="1"/>
    <xf numFmtId="0" fontId="13" fillId="4" borderId="43" xfId="0" applyFont="1" applyFill="1" applyBorder="1" applyAlignment="1">
      <alignment horizontal="center" vertical="center"/>
    </xf>
    <xf numFmtId="0" fontId="3" fillId="0" borderId="45" xfId="0" applyFont="1" applyBorder="1"/>
    <xf numFmtId="0" fontId="36" fillId="0" borderId="0" xfId="0" applyFont="1" applyAlignment="1">
      <alignment horizontal="center"/>
    </xf>
    <xf numFmtId="3" fontId="33" fillId="0" borderId="0" xfId="0" applyNumberFormat="1" applyFont="1"/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3">
    <dxf>
      <fill>
        <patternFill>
          <bgColor rgb="FFFFFF99"/>
        </patternFill>
      </fill>
    </dxf>
    <dxf>
      <font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ru-RU"/>
              <a:t>Доходы - расходы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5B9BD5"/>
              </a:solidFill>
            </a:ln>
          </c:spPr>
          <c:marker>
            <c:symbol val="none"/>
          </c:marker>
          <c:val>
            <c:numRef>
              <c:f>'Финансовая модель'!$C$8:$Z$8</c:f>
              <c:numCache>
                <c:formatCode>#,##0</c:formatCode>
                <c:ptCount val="24"/>
                <c:pt idx="0">
                  <c:v>507000</c:v>
                </c:pt>
                <c:pt idx="1">
                  <c:v>108000</c:v>
                </c:pt>
                <c:pt idx="2">
                  <c:v>192000</c:v>
                </c:pt>
                <c:pt idx="3">
                  <c:v>300000</c:v>
                </c:pt>
                <c:pt idx="4">
                  <c:v>300000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300000</c:v>
                </c:pt>
                <c:pt idx="9">
                  <c:v>300000</c:v>
                </c:pt>
                <c:pt idx="10">
                  <c:v>432000</c:v>
                </c:pt>
                <c:pt idx="11">
                  <c:v>363000.00000000006</c:v>
                </c:pt>
                <c:pt idx="12">
                  <c:v>507000</c:v>
                </c:pt>
                <c:pt idx="13">
                  <c:v>108000</c:v>
                </c:pt>
                <c:pt idx="14">
                  <c:v>192000</c:v>
                </c:pt>
                <c:pt idx="15">
                  <c:v>300000</c:v>
                </c:pt>
                <c:pt idx="16">
                  <c:v>300000</c:v>
                </c:pt>
                <c:pt idx="17">
                  <c:v>300000</c:v>
                </c:pt>
                <c:pt idx="18">
                  <c:v>300000</c:v>
                </c:pt>
                <c:pt idx="19">
                  <c:v>300000</c:v>
                </c:pt>
                <c:pt idx="20">
                  <c:v>300000</c:v>
                </c:pt>
                <c:pt idx="21">
                  <c:v>300000</c:v>
                </c:pt>
                <c:pt idx="22">
                  <c:v>432000</c:v>
                </c:pt>
                <c:pt idx="23">
                  <c:v>363000.00000000006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7-455C-BCB8-EF1996C9B701}"/>
            </c:ext>
          </c:extLst>
        </c:ser>
        <c:ser>
          <c:idx val="1"/>
          <c:order val="1"/>
          <c:spPr>
            <a:ln w="19050" cmpd="sng">
              <a:solidFill>
                <a:srgbClr val="ED7D31"/>
              </a:solidFill>
            </a:ln>
          </c:spPr>
          <c:marker>
            <c:symbol val="none"/>
          </c:marker>
          <c:val>
            <c:numRef>
              <c:f>'Финансовая модель'!$C$22:$Z$22</c:f>
              <c:numCache>
                <c:formatCode>#,##0</c:formatCode>
                <c:ptCount val="24"/>
                <c:pt idx="0">
                  <c:v>249672</c:v>
                </c:pt>
                <c:pt idx="1">
                  <c:v>145868</c:v>
                </c:pt>
                <c:pt idx="2">
                  <c:v>166932</c:v>
                </c:pt>
                <c:pt idx="3">
                  <c:v>213300</c:v>
                </c:pt>
                <c:pt idx="4">
                  <c:v>214300</c:v>
                </c:pt>
                <c:pt idx="5">
                  <c:v>213300</c:v>
                </c:pt>
                <c:pt idx="6">
                  <c:v>213300</c:v>
                </c:pt>
                <c:pt idx="7">
                  <c:v>214300</c:v>
                </c:pt>
                <c:pt idx="8">
                  <c:v>213300</c:v>
                </c:pt>
                <c:pt idx="9">
                  <c:v>213300</c:v>
                </c:pt>
                <c:pt idx="10">
                  <c:v>248972</c:v>
                </c:pt>
                <c:pt idx="11">
                  <c:v>229848</c:v>
                </c:pt>
                <c:pt idx="12">
                  <c:v>267672</c:v>
                </c:pt>
                <c:pt idx="13">
                  <c:v>163868</c:v>
                </c:pt>
                <c:pt idx="14">
                  <c:v>184932</c:v>
                </c:pt>
                <c:pt idx="15">
                  <c:v>213300</c:v>
                </c:pt>
                <c:pt idx="16">
                  <c:v>214300</c:v>
                </c:pt>
                <c:pt idx="17">
                  <c:v>213300</c:v>
                </c:pt>
                <c:pt idx="18">
                  <c:v>213300</c:v>
                </c:pt>
                <c:pt idx="19">
                  <c:v>214300</c:v>
                </c:pt>
                <c:pt idx="20">
                  <c:v>213300</c:v>
                </c:pt>
                <c:pt idx="21">
                  <c:v>213300</c:v>
                </c:pt>
                <c:pt idx="22">
                  <c:v>248972</c:v>
                </c:pt>
                <c:pt idx="23">
                  <c:v>229848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7-455C-BCB8-EF1996C9B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398577"/>
        <c:axId val="1202446189"/>
      </c:lineChart>
      <c:catAx>
        <c:axId val="18503985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ru-RU"/>
                  <a:t>Период, мес.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1202446189"/>
        <c:crosses val="autoZero"/>
        <c:auto val="1"/>
        <c:lblAlgn val="ctr"/>
        <c:lblOffset val="100"/>
        <c:noMultiLvlLbl val="1"/>
      </c:catAx>
      <c:valAx>
        <c:axId val="120244618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ru-RU"/>
                  <a:t>Сумма, руб.</a:t>
                </a:r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1850398577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ru-RU"/>
              <a:t>Прибыль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33569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'Финансовая модель'!$C$28:$Z$28</c:f>
              <c:numCache>
                <c:formatCode>#,##0</c:formatCode>
                <c:ptCount val="24"/>
                <c:pt idx="0">
                  <c:v>257328</c:v>
                </c:pt>
                <c:pt idx="1">
                  <c:v>-40368</c:v>
                </c:pt>
                <c:pt idx="2">
                  <c:v>25068</c:v>
                </c:pt>
                <c:pt idx="3">
                  <c:v>86700</c:v>
                </c:pt>
                <c:pt idx="4">
                  <c:v>83200</c:v>
                </c:pt>
                <c:pt idx="5">
                  <c:v>86700</c:v>
                </c:pt>
                <c:pt idx="6">
                  <c:v>86700</c:v>
                </c:pt>
                <c:pt idx="7">
                  <c:v>83200</c:v>
                </c:pt>
                <c:pt idx="8">
                  <c:v>86700</c:v>
                </c:pt>
                <c:pt idx="9">
                  <c:v>86700</c:v>
                </c:pt>
                <c:pt idx="10">
                  <c:v>180528</c:v>
                </c:pt>
                <c:pt idx="11">
                  <c:v>133152.00000000006</c:v>
                </c:pt>
                <c:pt idx="12">
                  <c:v>239328</c:v>
                </c:pt>
                <c:pt idx="13">
                  <c:v>-58368</c:v>
                </c:pt>
                <c:pt idx="14">
                  <c:v>7068</c:v>
                </c:pt>
                <c:pt idx="15">
                  <c:v>86700</c:v>
                </c:pt>
                <c:pt idx="16">
                  <c:v>83200</c:v>
                </c:pt>
                <c:pt idx="17">
                  <c:v>86700</c:v>
                </c:pt>
                <c:pt idx="18">
                  <c:v>86700</c:v>
                </c:pt>
                <c:pt idx="19">
                  <c:v>83200</c:v>
                </c:pt>
                <c:pt idx="20">
                  <c:v>86700</c:v>
                </c:pt>
                <c:pt idx="21">
                  <c:v>86700</c:v>
                </c:pt>
                <c:pt idx="22">
                  <c:v>180528</c:v>
                </c:pt>
                <c:pt idx="23">
                  <c:v>133152.00000000006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A24-40D3-969C-D3B47AB8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755233"/>
        <c:axId val="869861868"/>
        <c:axId val="0"/>
      </c:bar3DChart>
      <c:catAx>
        <c:axId val="1315755233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869861868"/>
        <c:crosses val="autoZero"/>
        <c:auto val="1"/>
        <c:lblAlgn val="ctr"/>
        <c:lblOffset val="100"/>
        <c:noMultiLvlLbl val="1"/>
      </c:catAx>
      <c:valAx>
        <c:axId val="86986186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1315755233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ru-RU"/>
              <a:t>Чистая прибыль нарастающим итогом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'Финансовая модель'!$B$30:$Z$30</c:f>
              <c:numCache>
                <c:formatCode>#,##0</c:formatCode>
                <c:ptCount val="25"/>
                <c:pt idx="0">
                  <c:v>-809000</c:v>
                </c:pt>
                <c:pt idx="1">
                  <c:v>-551672</c:v>
                </c:pt>
                <c:pt idx="2">
                  <c:v>-592040</c:v>
                </c:pt>
                <c:pt idx="3">
                  <c:v>-566972</c:v>
                </c:pt>
                <c:pt idx="4">
                  <c:v>-480272</c:v>
                </c:pt>
                <c:pt idx="5">
                  <c:v>-397072</c:v>
                </c:pt>
                <c:pt idx="6">
                  <c:v>-310372</c:v>
                </c:pt>
                <c:pt idx="7">
                  <c:v>-223672</c:v>
                </c:pt>
                <c:pt idx="8">
                  <c:v>-140472</c:v>
                </c:pt>
                <c:pt idx="9">
                  <c:v>-53772</c:v>
                </c:pt>
                <c:pt idx="10">
                  <c:v>32928</c:v>
                </c:pt>
                <c:pt idx="11">
                  <c:v>213456</c:v>
                </c:pt>
                <c:pt idx="12">
                  <c:v>346608.00000000006</c:v>
                </c:pt>
                <c:pt idx="13">
                  <c:v>585936</c:v>
                </c:pt>
                <c:pt idx="14">
                  <c:v>527568</c:v>
                </c:pt>
                <c:pt idx="15">
                  <c:v>534636</c:v>
                </c:pt>
                <c:pt idx="16">
                  <c:v>621336</c:v>
                </c:pt>
                <c:pt idx="17">
                  <c:v>704536</c:v>
                </c:pt>
                <c:pt idx="18">
                  <c:v>791236</c:v>
                </c:pt>
                <c:pt idx="19">
                  <c:v>877936</c:v>
                </c:pt>
                <c:pt idx="20">
                  <c:v>961136</c:v>
                </c:pt>
                <c:pt idx="21">
                  <c:v>1047836</c:v>
                </c:pt>
                <c:pt idx="22">
                  <c:v>1134536</c:v>
                </c:pt>
                <c:pt idx="23">
                  <c:v>1315064</c:v>
                </c:pt>
                <c:pt idx="24">
                  <c:v>1448216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D9-4565-B5CD-5EF0EED0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093971"/>
        <c:axId val="2101973463"/>
      </c:lineChart>
      <c:catAx>
        <c:axId val="1897093971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2101973463"/>
        <c:crosses val="autoZero"/>
        <c:auto val="1"/>
        <c:lblAlgn val="ctr"/>
        <c:lblOffset val="100"/>
        <c:noMultiLvlLbl val="1"/>
      </c:catAx>
      <c:valAx>
        <c:axId val="210197346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ru-RU"/>
          </a:p>
        </c:txPr>
        <c:crossAx val="1897093971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400800" cy="2876550"/>
    <xdr:graphicFrame macro="">
      <xdr:nvGraphicFramePr>
        <xdr:cNvPr id="57523625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600075</xdr:colOff>
      <xdr:row>15</xdr:row>
      <xdr:rowOff>171450</xdr:rowOff>
    </xdr:from>
    <xdr:ext cx="6838950" cy="3581400"/>
    <xdr:graphicFrame macro="">
      <xdr:nvGraphicFramePr>
        <xdr:cNvPr id="145919496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35</xdr:row>
      <xdr:rowOff>28575</xdr:rowOff>
    </xdr:from>
    <xdr:ext cx="6410325" cy="2990850"/>
    <xdr:graphicFrame macro="">
      <xdr:nvGraphicFramePr>
        <xdr:cNvPr id="112909711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000"/>
  <sheetViews>
    <sheetView showGridLines="0" tabSelected="1" topLeftCell="A4" workbookViewId="0">
      <selection activeCell="F13" sqref="F13"/>
    </sheetView>
  </sheetViews>
  <sheetFormatPr defaultColWidth="14.42578125" defaultRowHeight="15" customHeight="1" x14ac:dyDescent="0.25"/>
  <cols>
    <col min="1" max="2" width="8.7109375" customWidth="1"/>
    <col min="3" max="3" width="36.140625" style="72" customWidth="1"/>
    <col min="4" max="4" width="17" style="72" customWidth="1"/>
    <col min="5" max="5" width="17.28515625" style="72" customWidth="1"/>
    <col min="6" max="6" width="22.42578125" style="72" customWidth="1"/>
    <col min="7" max="12" width="8.7109375" style="72" customWidth="1"/>
    <col min="13" max="27" width="8.7109375" customWidth="1"/>
  </cols>
  <sheetData>
    <row r="1" spans="1:27" ht="38.25" customHeight="1" x14ac:dyDescent="0.25">
      <c r="A1" s="1"/>
      <c r="B1" s="1"/>
      <c r="C1" s="189" t="s">
        <v>0</v>
      </c>
      <c r="D1" s="189"/>
      <c r="E1" s="189"/>
      <c r="F1" s="189"/>
      <c r="G1" s="189"/>
      <c r="H1" s="189"/>
      <c r="I1" s="189"/>
      <c r="J1" s="189"/>
      <c r="K1" s="189"/>
      <c r="L1" s="18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" customHeight="1" x14ac:dyDescent="0.25">
      <c r="A2" s="1"/>
      <c r="B2" s="1"/>
      <c r="C2" s="191"/>
      <c r="D2" s="191"/>
      <c r="E2" s="191"/>
      <c r="F2" s="191"/>
      <c r="G2" s="191"/>
      <c r="H2" s="191"/>
      <c r="I2" s="191"/>
      <c r="J2" s="1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" customHeight="1" x14ac:dyDescent="0.25">
      <c r="A3" s="1"/>
      <c r="B3" s="1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8.25" customHeight="1" x14ac:dyDescent="0.25">
      <c r="A4" s="1"/>
      <c r="B4" s="1"/>
      <c r="C4" s="192" t="s">
        <v>4</v>
      </c>
      <c r="D4" s="192"/>
      <c r="E4" s="192"/>
      <c r="F4" s="192"/>
      <c r="G4" s="192"/>
      <c r="H4" s="192"/>
      <c r="I4" s="192"/>
      <c r="J4" s="19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" customHeight="1" x14ac:dyDescent="0.25">
      <c r="A5" s="5"/>
      <c r="B5" s="5"/>
      <c r="C5" s="4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6.5" customHeight="1" x14ac:dyDescent="0.25">
      <c r="A6" s="7"/>
      <c r="B6" s="7"/>
      <c r="C6" s="190" t="s">
        <v>6</v>
      </c>
      <c r="D6" s="190"/>
      <c r="E6" s="190"/>
      <c r="F6" s="8"/>
      <c r="G6" s="9" t="s">
        <v>7</v>
      </c>
      <c r="H6" s="5"/>
      <c r="I6" s="5"/>
      <c r="J6" s="5"/>
      <c r="K6" s="5"/>
      <c r="L6" s="5"/>
      <c r="M6" s="5"/>
      <c r="N6" s="5"/>
      <c r="O6" s="5"/>
      <c r="P6" s="5"/>
      <c r="Q6" s="178"/>
      <c r="R6" s="178"/>
      <c r="S6" s="178"/>
      <c r="T6" s="178"/>
      <c r="U6" s="178"/>
      <c r="V6" s="178"/>
      <c r="W6" s="178"/>
      <c r="X6" s="178"/>
      <c r="Y6" s="5"/>
      <c r="Z6" s="5"/>
      <c r="AA6" s="5"/>
    </row>
    <row r="7" spans="1:27" ht="16.5" customHeight="1" x14ac:dyDescent="0.25">
      <c r="A7" s="7"/>
      <c r="B7" s="7"/>
      <c r="C7" s="190"/>
      <c r="D7" s="190"/>
      <c r="E7" s="190"/>
      <c r="F7" s="11"/>
      <c r="G7" s="9" t="s">
        <v>8</v>
      </c>
      <c r="H7" s="5"/>
      <c r="I7" s="5"/>
      <c r="J7" s="5"/>
      <c r="K7" s="5"/>
      <c r="L7" s="5"/>
      <c r="M7" s="5"/>
      <c r="N7" s="5"/>
      <c r="O7" s="5"/>
      <c r="P7" s="5"/>
      <c r="Q7" s="178"/>
      <c r="R7" s="178"/>
      <c r="S7" s="178"/>
      <c r="T7" s="178"/>
      <c r="U7" s="178"/>
      <c r="V7" s="178"/>
      <c r="W7" s="178"/>
      <c r="X7" s="178"/>
      <c r="Y7" s="5"/>
      <c r="Z7" s="5"/>
      <c r="AA7" s="5"/>
    </row>
    <row r="8" spans="1:27" ht="16.5" customHeight="1" thickBot="1" x14ac:dyDescent="0.3">
      <c r="A8" s="5"/>
      <c r="B8" s="5"/>
      <c r="C8" s="4"/>
      <c r="D8" s="6"/>
      <c r="E8" s="5"/>
      <c r="F8" s="5"/>
      <c r="G8" s="5"/>
      <c r="H8" s="5"/>
      <c r="I8" s="5"/>
      <c r="J8" s="5"/>
      <c r="K8" s="5"/>
      <c r="L8" s="154"/>
      <c r="M8" s="154"/>
      <c r="N8" s="154"/>
      <c r="O8" s="154"/>
      <c r="P8" s="154"/>
      <c r="Q8" s="178"/>
      <c r="R8" s="118"/>
      <c r="S8" s="118" t="s">
        <v>50</v>
      </c>
      <c r="T8" s="118"/>
      <c r="U8" s="178"/>
      <c r="V8" s="178"/>
      <c r="W8" s="178"/>
      <c r="X8" s="178"/>
      <c r="Y8" s="154"/>
      <c r="Z8" s="5"/>
      <c r="AA8" s="5"/>
    </row>
    <row r="9" spans="1:27" ht="23.25" customHeight="1" thickBot="1" x14ac:dyDescent="0.3">
      <c r="A9" s="5"/>
      <c r="B9" s="5"/>
      <c r="C9" s="193" t="s">
        <v>9</v>
      </c>
      <c r="D9" s="194"/>
      <c r="E9" s="5"/>
      <c r="F9" s="5"/>
      <c r="G9" s="5"/>
      <c r="H9" s="5"/>
      <c r="I9" s="5"/>
      <c r="J9" s="5"/>
      <c r="K9" s="5"/>
      <c r="L9" s="154"/>
      <c r="M9" s="154"/>
      <c r="N9" s="154"/>
      <c r="O9" s="154"/>
      <c r="P9" s="154"/>
      <c r="Q9" s="178"/>
      <c r="R9" s="119">
        <v>1</v>
      </c>
      <c r="S9" s="119">
        <v>2</v>
      </c>
      <c r="T9" s="119">
        <v>3</v>
      </c>
      <c r="U9" s="178"/>
      <c r="V9" s="178"/>
      <c r="W9" s="178"/>
      <c r="X9" s="178"/>
      <c r="Y9" s="154"/>
      <c r="Z9" s="5"/>
      <c r="AA9" s="5"/>
    </row>
    <row r="10" spans="1:27" ht="16.5" customHeight="1" x14ac:dyDescent="0.25">
      <c r="A10" s="5"/>
      <c r="B10" s="5"/>
      <c r="C10" s="172" t="s">
        <v>10</v>
      </c>
      <c r="D10" s="173" t="s">
        <v>56</v>
      </c>
      <c r="E10" s="94" t="s">
        <v>48</v>
      </c>
      <c r="F10" s="5"/>
      <c r="G10" s="5"/>
      <c r="H10" s="5"/>
      <c r="I10" s="5"/>
      <c r="J10" s="5"/>
      <c r="K10" s="5"/>
      <c r="L10" s="154"/>
      <c r="M10" s="154"/>
      <c r="N10" s="154"/>
      <c r="O10" s="154"/>
      <c r="P10" s="154"/>
      <c r="Q10" s="178"/>
      <c r="R10" s="118" t="s">
        <v>55</v>
      </c>
      <c r="S10" s="118" t="s">
        <v>56</v>
      </c>
      <c r="T10" s="118" t="s">
        <v>57</v>
      </c>
      <c r="U10" s="178"/>
      <c r="V10" s="178"/>
      <c r="W10" s="178"/>
      <c r="X10" s="178"/>
      <c r="Y10" s="154"/>
      <c r="Z10" s="5"/>
      <c r="AA10" s="5"/>
    </row>
    <row r="11" spans="1:27" s="91" customFormat="1" ht="16.5" customHeight="1" x14ac:dyDescent="0.25">
      <c r="A11" s="73"/>
      <c r="B11" s="73"/>
      <c r="C11" s="168" t="s">
        <v>59</v>
      </c>
      <c r="D11" s="167" t="s">
        <v>61</v>
      </c>
      <c r="E11" s="96" t="s">
        <v>48</v>
      </c>
      <c r="F11" s="73"/>
      <c r="G11" s="73"/>
      <c r="H11" s="73"/>
      <c r="I11" s="73"/>
      <c r="J11" s="73"/>
      <c r="K11" s="73"/>
      <c r="L11" s="155"/>
      <c r="M11" s="155"/>
      <c r="N11" s="155"/>
      <c r="O11" s="155"/>
      <c r="P11" s="155"/>
      <c r="Q11" s="179"/>
      <c r="R11" s="118" t="s">
        <v>60</v>
      </c>
      <c r="S11" s="118" t="s">
        <v>61</v>
      </c>
      <c r="T11" s="118" t="s">
        <v>62</v>
      </c>
      <c r="U11" s="179"/>
      <c r="V11" s="179"/>
      <c r="W11" s="179"/>
      <c r="X11" s="179"/>
      <c r="Y11" s="155"/>
      <c r="Z11" s="73"/>
      <c r="AA11" s="73"/>
    </row>
    <row r="12" spans="1:27" ht="16.5" customHeight="1" x14ac:dyDescent="0.25">
      <c r="A12" s="5"/>
      <c r="B12" s="5"/>
      <c r="C12" s="166" t="s">
        <v>17</v>
      </c>
      <c r="D12" s="169">
        <f>IF(D10=R10,210000,IF(D10=S10,300000,500000))</f>
        <v>300000</v>
      </c>
      <c r="E12" s="95"/>
      <c r="F12" s="5"/>
      <c r="G12" s="5"/>
      <c r="H12" s="5"/>
      <c r="I12" s="5"/>
      <c r="J12" s="5"/>
      <c r="K12" s="5"/>
      <c r="L12" s="154"/>
      <c r="M12" s="154"/>
      <c r="N12" s="154"/>
      <c r="O12" s="154"/>
      <c r="P12" s="154"/>
      <c r="Q12" s="178"/>
      <c r="R12" s="179">
        <v>210000</v>
      </c>
      <c r="S12" s="179">
        <v>300000</v>
      </c>
      <c r="T12" s="179">
        <v>500000</v>
      </c>
      <c r="U12" s="178"/>
      <c r="V12" s="178"/>
      <c r="W12" s="178"/>
      <c r="X12" s="178"/>
      <c r="Y12" s="154"/>
      <c r="Z12" s="5"/>
      <c r="AA12" s="5"/>
    </row>
    <row r="13" spans="1:27" ht="16.5" customHeight="1" x14ac:dyDescent="0.25">
      <c r="A13" s="5"/>
      <c r="B13" s="5"/>
      <c r="C13" s="166" t="s">
        <v>18</v>
      </c>
      <c r="D13" s="170">
        <v>0</v>
      </c>
      <c r="E13" s="95"/>
      <c r="F13" s="5"/>
      <c r="G13" s="5"/>
      <c r="H13" s="5"/>
      <c r="I13" s="5"/>
      <c r="J13" s="5"/>
      <c r="K13" s="5"/>
      <c r="L13" s="154"/>
      <c r="M13" s="154"/>
      <c r="N13" s="154"/>
      <c r="O13" s="154"/>
      <c r="P13" s="154"/>
      <c r="Q13" s="178"/>
      <c r="R13" s="179"/>
      <c r="S13" s="179"/>
      <c r="T13" s="179"/>
      <c r="U13" s="178"/>
      <c r="V13" s="178"/>
      <c r="W13" s="178"/>
      <c r="X13" s="178"/>
      <c r="Y13" s="154"/>
      <c r="Z13" s="5"/>
      <c r="AA13" s="5"/>
    </row>
    <row r="14" spans="1:27" ht="16.5" customHeight="1" x14ac:dyDescent="0.25">
      <c r="A14" s="5"/>
      <c r="B14" s="5"/>
      <c r="C14" s="166" t="s">
        <v>20</v>
      </c>
      <c r="D14" s="171">
        <v>1</v>
      </c>
      <c r="E14" s="95"/>
      <c r="F14" s="5"/>
      <c r="G14" s="5"/>
      <c r="H14" s="5"/>
      <c r="I14" s="5"/>
      <c r="J14" s="5"/>
      <c r="K14" s="5"/>
      <c r="L14" s="154"/>
      <c r="M14" s="154"/>
      <c r="N14" s="154"/>
      <c r="O14" s="154"/>
      <c r="P14" s="154"/>
      <c r="Q14" s="178"/>
      <c r="R14" s="178"/>
      <c r="S14" s="178"/>
      <c r="T14" s="178"/>
      <c r="U14" s="178"/>
      <c r="V14" s="178"/>
      <c r="W14" s="178"/>
      <c r="X14" s="178"/>
      <c r="Y14" s="154"/>
      <c r="Z14" s="5"/>
      <c r="AA14" s="5"/>
    </row>
    <row r="15" spans="1:27" ht="16.5" customHeight="1" x14ac:dyDescent="0.25">
      <c r="A15" s="5"/>
      <c r="B15" s="5"/>
      <c r="C15" s="166" t="s">
        <v>21</v>
      </c>
      <c r="D15" s="167">
        <v>8</v>
      </c>
      <c r="E15" s="94" t="str">
        <f>IF(D11=T11,"- от 15 до 30 кв.м.",IF(D11=S11,"- от 6 до 10 кв.м.",IF(D11=R11,"- от 3 до 6 кв.м")))</f>
        <v>- от 6 до 10 кв.м.</v>
      </c>
      <c r="F15" s="5"/>
      <c r="G15" s="5"/>
      <c r="H15" s="5"/>
      <c r="I15" s="5"/>
      <c r="J15" s="5"/>
      <c r="K15" s="5"/>
      <c r="L15" s="154"/>
      <c r="M15" s="154"/>
      <c r="N15" s="154"/>
      <c r="O15" s="154"/>
      <c r="P15" s="154"/>
      <c r="Q15" s="178"/>
      <c r="R15" s="178"/>
      <c r="S15" s="178"/>
      <c r="T15" s="178"/>
      <c r="U15" s="178"/>
      <c r="V15" s="178"/>
      <c r="W15" s="178"/>
      <c r="X15" s="178"/>
      <c r="Y15" s="154"/>
      <c r="Z15" s="5"/>
      <c r="AA15" s="5"/>
    </row>
    <row r="16" spans="1:27" ht="28.5" customHeight="1" x14ac:dyDescent="0.25">
      <c r="A16" s="5"/>
      <c r="B16" s="5"/>
      <c r="C16" s="166" t="s">
        <v>22</v>
      </c>
      <c r="D16" s="167">
        <v>7000</v>
      </c>
      <c r="E16" s="94" t="s">
        <v>63</v>
      </c>
      <c r="F16" s="5"/>
      <c r="G16" s="5"/>
      <c r="H16" s="5"/>
      <c r="I16" s="5"/>
      <c r="J16" s="5"/>
      <c r="K16" s="5"/>
      <c r="L16" s="154"/>
      <c r="M16" s="154"/>
      <c r="N16" s="154"/>
      <c r="O16" s="154"/>
      <c r="P16" s="154"/>
      <c r="Q16" s="178"/>
      <c r="R16" s="178"/>
      <c r="S16" s="178"/>
      <c r="T16" s="178"/>
      <c r="U16" s="178"/>
      <c r="V16" s="178"/>
      <c r="W16" s="178"/>
      <c r="X16" s="178"/>
      <c r="Y16" s="154"/>
      <c r="Z16" s="5"/>
      <c r="AA16" s="5"/>
    </row>
    <row r="17" spans="1:27" ht="16.5" customHeight="1" x14ac:dyDescent="0.25">
      <c r="A17" s="5"/>
      <c r="B17" s="5"/>
      <c r="C17" s="163" t="s">
        <v>74</v>
      </c>
      <c r="D17" s="177">
        <v>1</v>
      </c>
      <c r="E17" s="165" t="s">
        <v>48</v>
      </c>
      <c r="F17" s="5"/>
      <c r="G17" s="5"/>
      <c r="H17" s="5"/>
      <c r="I17" s="5"/>
      <c r="J17" s="5"/>
      <c r="K17" s="5"/>
      <c r="L17" s="154"/>
      <c r="M17" s="154"/>
      <c r="N17" s="156"/>
      <c r="O17" s="154"/>
      <c r="P17" s="154"/>
      <c r="Q17" s="178"/>
      <c r="R17" s="178">
        <v>1</v>
      </c>
      <c r="S17" s="178">
        <v>2</v>
      </c>
      <c r="T17" s="178">
        <v>3</v>
      </c>
      <c r="U17" s="178">
        <v>4</v>
      </c>
      <c r="V17" s="178">
        <v>5</v>
      </c>
      <c r="W17" s="178"/>
      <c r="X17" s="178"/>
      <c r="Y17" s="154"/>
      <c r="Z17" s="5"/>
      <c r="AA17" s="5"/>
    </row>
    <row r="18" spans="1:27" ht="15" customHeight="1" x14ac:dyDescent="0.25">
      <c r="L18" s="157"/>
      <c r="M18" s="157"/>
      <c r="N18" s="157"/>
      <c r="O18" s="157"/>
      <c r="P18" s="157"/>
      <c r="Q18" s="176"/>
      <c r="R18" s="176"/>
      <c r="S18" s="176"/>
      <c r="T18" s="176"/>
      <c r="U18" s="176"/>
      <c r="V18" s="176"/>
      <c r="W18" s="176"/>
      <c r="X18" s="176"/>
      <c r="Y18" s="157"/>
    </row>
    <row r="19" spans="1:27" ht="15" customHeight="1" thickBot="1" x14ac:dyDescent="0.3">
      <c r="L19" s="157"/>
      <c r="M19" s="157"/>
      <c r="N19" s="157"/>
      <c r="O19" s="157"/>
      <c r="P19" s="157"/>
      <c r="Q19" s="176"/>
      <c r="R19" s="176"/>
      <c r="S19" s="176"/>
      <c r="T19" s="176"/>
      <c r="U19" s="176"/>
      <c r="V19" s="176"/>
      <c r="W19" s="176"/>
      <c r="X19" s="176"/>
    </row>
    <row r="20" spans="1:27" ht="36.75" customHeight="1" thickBot="1" x14ac:dyDescent="0.3">
      <c r="C20" s="183" t="s">
        <v>51</v>
      </c>
      <c r="D20" s="184" t="s">
        <v>49</v>
      </c>
      <c r="E20" s="184" t="s">
        <v>52</v>
      </c>
      <c r="F20" s="185" t="s">
        <v>76</v>
      </c>
      <c r="L20" s="157"/>
      <c r="M20" s="157"/>
      <c r="N20" s="157"/>
      <c r="O20" s="157"/>
      <c r="P20" s="157"/>
      <c r="Q20" s="176"/>
      <c r="R20" s="176"/>
      <c r="S20" s="176"/>
      <c r="T20" s="176"/>
      <c r="U20" s="176"/>
      <c r="V20" s="176"/>
      <c r="W20" s="176"/>
      <c r="X20" s="176"/>
    </row>
    <row r="21" spans="1:27" ht="15.75" customHeight="1" x14ac:dyDescent="0.25">
      <c r="C21" s="180" t="s">
        <v>58</v>
      </c>
      <c r="D21" s="181">
        <f>2*$D$17</f>
        <v>2</v>
      </c>
      <c r="E21" s="181">
        <v>20000</v>
      </c>
      <c r="F21" s="182">
        <v>7.0000000000000007E-2</v>
      </c>
      <c r="L21" s="157"/>
      <c r="M21" s="157"/>
      <c r="N21" s="157"/>
      <c r="O21" s="157"/>
      <c r="P21" s="157"/>
      <c r="Q21" s="176"/>
      <c r="R21" s="176"/>
      <c r="S21" s="176"/>
      <c r="T21" s="176"/>
      <c r="U21" s="176"/>
      <c r="V21" s="176"/>
      <c r="W21" s="176"/>
      <c r="X21" s="176"/>
    </row>
    <row r="22" spans="1:27" ht="15.75" customHeight="1" x14ac:dyDescent="0.25">
      <c r="C22" s="92"/>
      <c r="D22" s="93"/>
      <c r="E22" s="93"/>
      <c r="F22" s="93"/>
      <c r="L22" s="157"/>
      <c r="M22" s="157"/>
      <c r="N22" s="157"/>
      <c r="O22" s="157"/>
      <c r="P22" s="157"/>
      <c r="Q22" s="176"/>
      <c r="R22" s="176"/>
      <c r="S22" s="176"/>
      <c r="T22" s="176"/>
      <c r="U22" s="176"/>
      <c r="V22" s="176"/>
      <c r="W22" s="176"/>
    </row>
    <row r="23" spans="1:27" ht="15.75" customHeight="1" x14ac:dyDescent="0.25">
      <c r="C23" s="92"/>
      <c r="D23" s="93"/>
      <c r="E23" s="93"/>
      <c r="F23" s="93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</row>
    <row r="24" spans="1:27" ht="46.5" customHeight="1" x14ac:dyDescent="0.25">
      <c r="C24" s="92"/>
      <c r="D24" s="93"/>
      <c r="E24" s="93"/>
      <c r="F24" s="93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</row>
    <row r="25" spans="1:27" ht="15.75" customHeight="1" x14ac:dyDescent="0.25">
      <c r="C25" s="92"/>
      <c r="D25" s="93"/>
      <c r="E25" s="93"/>
      <c r="F25" s="93"/>
    </row>
    <row r="26" spans="1:27" ht="15.75" customHeight="1" x14ac:dyDescent="0.25">
      <c r="C26" s="92"/>
      <c r="D26" s="93"/>
      <c r="E26" s="93"/>
      <c r="F26" s="93"/>
    </row>
    <row r="27" spans="1:27" ht="15.75" customHeight="1" x14ac:dyDescent="0.25">
      <c r="C27" s="92"/>
      <c r="D27" s="93"/>
      <c r="E27" s="93"/>
      <c r="F27" s="93"/>
    </row>
    <row r="28" spans="1:27" ht="15.75" customHeight="1" x14ac:dyDescent="0.25"/>
    <row r="29" spans="1:27" ht="15.75" customHeight="1" x14ac:dyDescent="0.25"/>
    <row r="30" spans="1:27" ht="15.75" customHeight="1" x14ac:dyDescent="0.25"/>
    <row r="31" spans="1:27" ht="15.75" customHeight="1" x14ac:dyDescent="0.25"/>
    <row r="32" spans="1:2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C1:L1"/>
    <mergeCell ref="C6:E7"/>
    <mergeCell ref="C2:J2"/>
    <mergeCell ref="C4:J4"/>
    <mergeCell ref="C9:D9"/>
  </mergeCells>
  <conditionalFormatting sqref="C17:D17">
    <cfRule type="expression" dxfId="2" priority="3">
      <formula>IF($D$10=$T$10,1,0)</formula>
    </cfRule>
  </conditionalFormatting>
  <conditionalFormatting sqref="E17">
    <cfRule type="expression" dxfId="1" priority="2">
      <formula>IF($D$10=$T$10,1,0)</formula>
    </cfRule>
  </conditionalFormatting>
  <conditionalFormatting sqref="D17">
    <cfRule type="expression" dxfId="0" priority="1">
      <formula>IF($D$10=$T$10,1,0)</formula>
    </cfRule>
  </conditionalFormatting>
  <dataValidations count="3">
    <dataValidation type="list" allowBlank="1" showInputMessage="1" showErrorMessage="1" sqref="D10">
      <formula1>$R$10:$T$10</formula1>
    </dataValidation>
    <dataValidation type="list" allowBlank="1" showInputMessage="1" showErrorMessage="1" sqref="D11">
      <formula1>$R$11:$S$11</formula1>
    </dataValidation>
    <dataValidation type="list" allowBlank="1" showInputMessage="1" showErrorMessage="1" sqref="D17">
      <formula1>$R$17:$V$17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Z995"/>
  <sheetViews>
    <sheetView showGridLines="0" workbookViewId="0">
      <selection activeCell="L16" sqref="L16"/>
    </sheetView>
  </sheetViews>
  <sheetFormatPr defaultColWidth="14.42578125" defaultRowHeight="15" customHeight="1" x14ac:dyDescent="0.25"/>
  <cols>
    <col min="1" max="2" width="8.7109375" customWidth="1"/>
    <col min="3" max="3" width="22.28515625" customWidth="1"/>
    <col min="4" max="4" width="20.85546875" customWidth="1"/>
    <col min="5" max="6" width="14.140625" customWidth="1"/>
    <col min="7" max="26" width="8.7109375" customWidth="1"/>
  </cols>
  <sheetData>
    <row r="1" spans="1:26" ht="21" customHeight="1" x14ac:dyDescent="0.25">
      <c r="A1" s="3"/>
      <c r="B1" s="3"/>
      <c r="C1" s="197" t="s">
        <v>2</v>
      </c>
      <c r="D1" s="198"/>
      <c r="E1" s="198"/>
      <c r="F1" s="199"/>
      <c r="G1" s="12"/>
      <c r="H1" s="12"/>
      <c r="I1" s="12"/>
      <c r="J1" s="12"/>
      <c r="K1" s="12"/>
      <c r="L1" s="12"/>
      <c r="M1" s="12"/>
      <c r="N1" s="12"/>
      <c r="O1" s="12"/>
    </row>
    <row r="2" spans="1:26" ht="9" customHeight="1" x14ac:dyDescent="0.25">
      <c r="A2" s="3"/>
      <c r="B2" s="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 x14ac:dyDescent="0.3">
      <c r="A3" s="3"/>
      <c r="B3" s="3"/>
      <c r="C3" s="14"/>
      <c r="D3" s="14"/>
      <c r="E3" s="121"/>
      <c r="F3" s="14"/>
      <c r="G3" s="3"/>
      <c r="H3" s="3"/>
      <c r="I3" s="3"/>
      <c r="J3" s="3"/>
      <c r="K3" s="3"/>
      <c r="L3" s="3"/>
      <c r="M3" s="3"/>
      <c r="N3" s="3"/>
      <c r="O3" s="164"/>
      <c r="P3" s="164"/>
      <c r="Q3" s="164"/>
      <c r="R3" s="164"/>
      <c r="S3" s="164"/>
      <c r="T3" s="164"/>
      <c r="U3" s="164"/>
      <c r="V3" s="164"/>
      <c r="W3" s="164"/>
      <c r="X3" s="157"/>
      <c r="Y3" s="157"/>
    </row>
    <row r="4" spans="1:26" ht="40.5" customHeight="1" thickBot="1" x14ac:dyDescent="0.3">
      <c r="A4" s="3"/>
      <c r="B4" s="3"/>
      <c r="C4" s="200" t="s">
        <v>12</v>
      </c>
      <c r="D4" s="201"/>
      <c r="E4" s="74" t="s">
        <v>13</v>
      </c>
      <c r="F4" s="120" t="s">
        <v>14</v>
      </c>
      <c r="G4" s="15" t="s">
        <v>15</v>
      </c>
      <c r="H4" s="16"/>
      <c r="I4" s="16"/>
      <c r="J4" s="17">
        <v>64.8</v>
      </c>
      <c r="K4" s="16"/>
      <c r="L4" s="16" t="s">
        <v>16</v>
      </c>
      <c r="M4" s="16"/>
      <c r="N4" s="3"/>
      <c r="O4" s="164"/>
      <c r="P4" s="164"/>
      <c r="Q4" s="174" t="s">
        <v>12</v>
      </c>
      <c r="R4" s="174"/>
      <c r="S4" s="174" t="s">
        <v>13</v>
      </c>
      <c r="T4" s="174" t="s">
        <v>14</v>
      </c>
      <c r="U4" s="164"/>
      <c r="V4" s="164"/>
      <c r="W4" s="164"/>
      <c r="X4" s="157"/>
      <c r="Y4" s="157"/>
    </row>
    <row r="5" spans="1:26" ht="21" customHeight="1" x14ac:dyDescent="0.25">
      <c r="A5" s="3"/>
      <c r="B5" s="3"/>
      <c r="C5" s="204" t="s">
        <v>17</v>
      </c>
      <c r="D5" s="205"/>
      <c r="E5" s="122">
        <f>S5</f>
        <v>300000</v>
      </c>
      <c r="F5" s="78">
        <f>E5/$J$4</f>
        <v>4629.6296296296296</v>
      </c>
      <c r="G5" s="3"/>
      <c r="H5" s="3"/>
      <c r="I5" s="3"/>
      <c r="J5" s="3"/>
      <c r="K5" s="3"/>
      <c r="L5" s="3"/>
      <c r="M5" s="3"/>
      <c r="N5" s="3"/>
      <c r="O5" s="164"/>
      <c r="P5" s="164"/>
      <c r="Q5" s="174" t="s">
        <v>17</v>
      </c>
      <c r="R5" s="174"/>
      <c r="S5" s="175">
        <f>'Исходные данные'!D12</f>
        <v>300000</v>
      </c>
      <c r="T5" s="175">
        <v>7716.0493827160499</v>
      </c>
      <c r="U5" s="164"/>
      <c r="V5" s="164"/>
      <c r="W5" s="164"/>
      <c r="X5" s="157"/>
      <c r="Y5" s="157"/>
    </row>
    <row r="6" spans="1:26" ht="21" customHeight="1" x14ac:dyDescent="0.25">
      <c r="A6" s="3"/>
      <c r="B6" s="3"/>
      <c r="C6" s="206" t="str">
        <f>IF('Исходные данные'!D11='Исходные данные'!R11,"Покупка стойки",IF('Исходные данные'!D11='Исходные данные'!S11,"Покупка острова",IF('Исходные данные'!D11='Исходные данные'!T11,"Ремонт помещения")))</f>
        <v>Покупка острова</v>
      </c>
      <c r="D6" s="207"/>
      <c r="E6" s="123">
        <f>S6*'Исходные данные'!$D$17</f>
        <v>150000</v>
      </c>
      <c r="F6" s="79">
        <f t="shared" ref="F6:F13" si="0">E6/$J$4</f>
        <v>2314.8148148148148</v>
      </c>
      <c r="G6" s="3"/>
      <c r="H6" s="3"/>
      <c r="I6" s="3"/>
      <c r="J6" s="3"/>
      <c r="K6" s="3"/>
      <c r="L6" s="3"/>
      <c r="M6" s="3"/>
      <c r="N6" s="3"/>
      <c r="O6" s="164"/>
      <c r="P6" s="164"/>
      <c r="Q6" s="174" t="s">
        <v>75</v>
      </c>
      <c r="R6" s="174"/>
      <c r="S6" s="175">
        <f>IF('Исходные данные'!D11='Исходные данные'!R11,100000,IF('Исходные данные'!D11='Исходные данные'!S11,150000,IF('Исходные данные'!D11='Исходные данные'!T11,"400000")))</f>
        <v>150000</v>
      </c>
      <c r="T6" s="175">
        <v>2314.8148148148148</v>
      </c>
      <c r="U6" s="164"/>
      <c r="V6" s="164"/>
      <c r="W6" s="164"/>
      <c r="X6" s="157"/>
      <c r="Y6" s="157"/>
    </row>
    <row r="7" spans="1:26" ht="21" customHeight="1" x14ac:dyDescent="0.25">
      <c r="A7" s="3"/>
      <c r="B7" s="3"/>
      <c r="C7" s="208" t="s">
        <v>64</v>
      </c>
      <c r="D7" s="209"/>
      <c r="E7" s="123">
        <f>S7*'Исходные данные'!$D$17</f>
        <v>56000</v>
      </c>
      <c r="F7" s="79">
        <f t="shared" si="0"/>
        <v>864.19753086419757</v>
      </c>
      <c r="G7" s="3"/>
      <c r="H7" s="3"/>
      <c r="I7" s="3"/>
      <c r="J7" s="3"/>
      <c r="K7" s="3"/>
      <c r="L7" s="3"/>
      <c r="M7" s="3"/>
      <c r="N7" s="3"/>
      <c r="O7" s="164"/>
      <c r="P7" s="164"/>
      <c r="Q7" s="174" t="s">
        <v>64</v>
      </c>
      <c r="R7" s="174"/>
      <c r="S7" s="175">
        <f>'Исходные данные'!D15*'Исходные данные'!D16</f>
        <v>56000</v>
      </c>
      <c r="T7" s="175">
        <v>864.19753086419757</v>
      </c>
      <c r="U7" s="164"/>
      <c r="V7" s="164"/>
      <c r="W7" s="164"/>
      <c r="X7" s="157"/>
      <c r="Y7" s="157"/>
    </row>
    <row r="8" spans="1:26" ht="21" customHeight="1" x14ac:dyDescent="0.25">
      <c r="A8" s="3"/>
      <c r="B8" s="3"/>
      <c r="C8" s="208" t="s">
        <v>24</v>
      </c>
      <c r="D8" s="209"/>
      <c r="E8" s="123">
        <f>S8*'Исходные данные'!$D$17</f>
        <v>200000</v>
      </c>
      <c r="F8" s="79">
        <f t="shared" si="0"/>
        <v>3086.4197530864199</v>
      </c>
      <c r="G8" s="3"/>
      <c r="H8" s="3"/>
      <c r="I8" s="3"/>
      <c r="J8" s="3"/>
      <c r="K8" s="3"/>
      <c r="L8" s="3"/>
      <c r="M8" s="18"/>
      <c r="N8" s="3"/>
      <c r="O8" s="164"/>
      <c r="P8" s="164"/>
      <c r="Q8" s="174" t="s">
        <v>24</v>
      </c>
      <c r="R8" s="174"/>
      <c r="S8" s="175">
        <f>IF('Исходные данные'!D11='Исходные данные'!R11,150000,IF('Исходные данные'!D11='Исходные данные'!S11,200000,IF('Исходные данные'!D11='Исходные данные'!T11,"400000")))</f>
        <v>200000</v>
      </c>
      <c r="T8" s="175">
        <v>3086.4197530864199</v>
      </c>
      <c r="U8" s="164"/>
      <c r="V8" s="164"/>
      <c r="W8" s="164"/>
      <c r="X8" s="157"/>
      <c r="Y8" s="157"/>
    </row>
    <row r="9" spans="1:26" ht="21" customHeight="1" x14ac:dyDescent="0.25">
      <c r="A9" s="3"/>
      <c r="B9" s="3"/>
      <c r="C9" s="208" t="s">
        <v>80</v>
      </c>
      <c r="D9" s="209"/>
      <c r="E9" s="123">
        <f>S9*'Исходные данные'!$D$17</f>
        <v>26000</v>
      </c>
      <c r="F9" s="79">
        <f t="shared" si="0"/>
        <v>401.23456790123458</v>
      </c>
      <c r="G9" s="3"/>
      <c r="H9" s="3"/>
      <c r="I9" s="3"/>
      <c r="J9" s="3"/>
      <c r="K9" s="3"/>
      <c r="L9" s="3"/>
      <c r="M9" s="18"/>
      <c r="N9" s="3"/>
      <c r="O9" s="164"/>
      <c r="P9" s="164"/>
      <c r="Q9" s="174" t="s">
        <v>65</v>
      </c>
      <c r="R9" s="174"/>
      <c r="S9" s="175">
        <v>26000</v>
      </c>
      <c r="T9" s="175">
        <v>385.80246913580248</v>
      </c>
      <c r="U9" s="164"/>
      <c r="V9" s="164"/>
      <c r="W9" s="164"/>
      <c r="X9" s="157"/>
      <c r="Y9" s="157"/>
    </row>
    <row r="10" spans="1:26" ht="21" customHeight="1" x14ac:dyDescent="0.25">
      <c r="A10" s="3"/>
      <c r="B10" s="3"/>
      <c r="C10" s="208" t="s">
        <v>66</v>
      </c>
      <c r="D10" s="209"/>
      <c r="E10" s="123">
        <f>S10*'Исходные данные'!$D$17</f>
        <v>17000</v>
      </c>
      <c r="F10" s="79">
        <f t="shared" si="0"/>
        <v>262.34567901234567</v>
      </c>
      <c r="G10" s="3"/>
      <c r="H10" s="3"/>
      <c r="I10" s="3"/>
      <c r="J10" s="3"/>
      <c r="K10" s="3"/>
      <c r="L10" s="3"/>
      <c r="M10" s="18"/>
      <c r="N10" s="3"/>
      <c r="O10" s="164"/>
      <c r="P10" s="164"/>
      <c r="Q10" s="174" t="s">
        <v>66</v>
      </c>
      <c r="R10" s="174"/>
      <c r="S10" s="175">
        <v>17000</v>
      </c>
      <c r="T10" s="175">
        <v>262.34567901234567</v>
      </c>
      <c r="U10" s="164"/>
      <c r="V10" s="164"/>
      <c r="W10" s="164"/>
      <c r="X10" s="157"/>
      <c r="Y10" s="157"/>
    </row>
    <row r="11" spans="1:26" ht="21" customHeight="1" x14ac:dyDescent="0.25">
      <c r="A11" s="3"/>
      <c r="B11" s="3"/>
      <c r="C11" s="208" t="s">
        <v>54</v>
      </c>
      <c r="D11" s="209"/>
      <c r="E11" s="123">
        <f>S11*'Исходные данные'!$D$17</f>
        <v>20000</v>
      </c>
      <c r="F11" s="79">
        <f t="shared" si="0"/>
        <v>308.64197530864197</v>
      </c>
      <c r="G11" s="3"/>
      <c r="H11" s="3"/>
      <c r="I11" s="3"/>
      <c r="J11" s="3"/>
      <c r="K11" s="3"/>
      <c r="L11" s="3"/>
      <c r="M11" s="3"/>
      <c r="N11" s="3"/>
      <c r="O11" s="164"/>
      <c r="P11" s="164"/>
      <c r="Q11" s="174" t="s">
        <v>54</v>
      </c>
      <c r="R11" s="174"/>
      <c r="S11" s="175">
        <v>20000</v>
      </c>
      <c r="T11" s="175">
        <v>308.64197530864197</v>
      </c>
      <c r="U11" s="164"/>
      <c r="V11" s="164"/>
      <c r="W11" s="164"/>
      <c r="X11" s="157"/>
      <c r="Y11" s="157"/>
    </row>
    <row r="12" spans="1:26" ht="21" customHeight="1" thickBot="1" x14ac:dyDescent="0.3">
      <c r="A12" s="3"/>
      <c r="B12" s="3"/>
      <c r="C12" s="210" t="s">
        <v>67</v>
      </c>
      <c r="D12" s="211"/>
      <c r="E12" s="123">
        <f>S12</f>
        <v>40000</v>
      </c>
      <c r="F12" s="124">
        <f t="shared" si="0"/>
        <v>617.28395061728395</v>
      </c>
      <c r="G12" s="3"/>
      <c r="H12" s="3"/>
      <c r="I12" s="3"/>
      <c r="J12" s="3"/>
      <c r="K12" s="3"/>
      <c r="L12" s="3"/>
      <c r="M12" s="3"/>
      <c r="N12" s="3"/>
      <c r="O12" s="164"/>
      <c r="P12" s="164"/>
      <c r="Q12" s="174" t="s">
        <v>67</v>
      </c>
      <c r="R12" s="174"/>
      <c r="S12" s="175">
        <f>'Исходные данные'!E21*'Исходные данные'!D21</f>
        <v>40000</v>
      </c>
      <c r="T12" s="175">
        <v>617.28395061728395</v>
      </c>
      <c r="U12" s="164"/>
      <c r="V12" s="164"/>
      <c r="W12" s="164"/>
      <c r="X12" s="157"/>
      <c r="Y12" s="157"/>
    </row>
    <row r="13" spans="1:26" ht="19.5" customHeight="1" thickBot="1" x14ac:dyDescent="0.3">
      <c r="A13" s="3"/>
      <c r="B13" s="3"/>
      <c r="C13" s="202" t="s">
        <v>26</v>
      </c>
      <c r="D13" s="203"/>
      <c r="E13" s="125">
        <f>SUM(E5:E12)</f>
        <v>809000</v>
      </c>
      <c r="F13" s="126">
        <f t="shared" si="0"/>
        <v>12484.567901234568</v>
      </c>
      <c r="G13" s="3"/>
      <c r="H13" s="3"/>
      <c r="I13" s="3"/>
      <c r="J13" s="3"/>
      <c r="K13" s="3"/>
      <c r="L13" s="3"/>
      <c r="M13" s="3"/>
      <c r="N13" s="3"/>
      <c r="O13" s="164"/>
      <c r="P13" s="164"/>
      <c r="Q13" s="164"/>
      <c r="R13" s="164"/>
      <c r="S13" s="249"/>
      <c r="T13" s="249"/>
      <c r="U13" s="164"/>
      <c r="V13" s="164"/>
      <c r="W13" s="164"/>
      <c r="X13" s="157"/>
      <c r="Y13" s="157"/>
    </row>
    <row r="14" spans="1:26" ht="15" customHeight="1" x14ac:dyDescent="0.25">
      <c r="C14" s="195"/>
      <c r="D14" s="196"/>
      <c r="E14" s="152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6" ht="15" customHeight="1" x14ac:dyDescent="0.25"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6" ht="15.75" customHeight="1" x14ac:dyDescent="0.25"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5:25" ht="15.75" customHeight="1" x14ac:dyDescent="0.25"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5:25" ht="15.75" customHeight="1" x14ac:dyDescent="0.25"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5:25" ht="15.75" customHeight="1" x14ac:dyDescent="0.25"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5:25" ht="15.75" customHeight="1" x14ac:dyDescent="0.25"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5:25" ht="15.75" customHeight="1" x14ac:dyDescent="0.25"/>
    <row r="22" spans="15:25" ht="15.75" customHeight="1" x14ac:dyDescent="0.25"/>
    <row r="23" spans="15:25" ht="15.75" customHeight="1" x14ac:dyDescent="0.25"/>
    <row r="24" spans="15:25" ht="15.75" customHeight="1" x14ac:dyDescent="0.25"/>
    <row r="25" spans="15:25" ht="15.75" customHeight="1" x14ac:dyDescent="0.25"/>
    <row r="26" spans="15:25" ht="15.75" customHeight="1" x14ac:dyDescent="0.25"/>
    <row r="27" spans="15:25" ht="15.75" customHeight="1" x14ac:dyDescent="0.25"/>
    <row r="28" spans="15:25" ht="15.75" customHeight="1" x14ac:dyDescent="0.25"/>
    <row r="29" spans="15:25" ht="15.75" customHeight="1" x14ac:dyDescent="0.25"/>
    <row r="30" spans="15:25" ht="15.75" customHeight="1" x14ac:dyDescent="0.25"/>
    <row r="31" spans="15:25" ht="15.75" customHeight="1" x14ac:dyDescent="0.25"/>
    <row r="32" spans="15:2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12">
    <mergeCell ref="C14:D14"/>
    <mergeCell ref="C1:F1"/>
    <mergeCell ref="C4:D4"/>
    <mergeCell ref="C13:D13"/>
    <mergeCell ref="C5:D5"/>
    <mergeCell ref="C6:D6"/>
    <mergeCell ref="C7:D7"/>
    <mergeCell ref="C8:D8"/>
    <mergeCell ref="C9:D9"/>
    <mergeCell ref="C10:D10"/>
    <mergeCell ref="C11:D11"/>
    <mergeCell ref="C12:D1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A993"/>
  <sheetViews>
    <sheetView showGridLines="0" workbookViewId="0">
      <selection activeCell="D9" sqref="D9"/>
    </sheetView>
  </sheetViews>
  <sheetFormatPr defaultColWidth="14.42578125" defaultRowHeight="15" customHeight="1" x14ac:dyDescent="0.25"/>
  <cols>
    <col min="1" max="1" width="8.7109375" customWidth="1"/>
    <col min="2" max="2" width="32.7109375" customWidth="1"/>
    <col min="3" max="3" width="28.85546875" customWidth="1"/>
    <col min="4" max="4" width="27.85546875" customWidth="1"/>
    <col min="5" max="5" width="48.42578125" customWidth="1"/>
    <col min="6" max="27" width="8.7109375" customWidth="1"/>
  </cols>
  <sheetData>
    <row r="1" spans="1:27" ht="21" customHeight="1" x14ac:dyDescent="0.25">
      <c r="A1" s="2"/>
      <c r="B1" s="197" t="s">
        <v>1</v>
      </c>
      <c r="C1" s="198"/>
      <c r="D1" s="198"/>
      <c r="E1" s="198"/>
      <c r="F1" s="198"/>
      <c r="G1" s="198"/>
      <c r="H1" s="1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" customHeight="1" x14ac:dyDescent="0.25">
      <c r="A2" s="1"/>
      <c r="B2" s="214"/>
      <c r="C2" s="198"/>
      <c r="D2" s="198"/>
      <c r="E2" s="198"/>
      <c r="F2" s="198"/>
      <c r="G2" s="198"/>
      <c r="H2" s="1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1.5" customHeight="1" thickBot="1" x14ac:dyDescent="0.3">
      <c r="A4" s="1"/>
      <c r="B4" s="200" t="s">
        <v>3</v>
      </c>
      <c r="C4" s="201"/>
      <c r="D4" s="215"/>
      <c r="E4" s="1"/>
      <c r="F4" s="216" t="s">
        <v>5</v>
      </c>
      <c r="G4" s="201"/>
      <c r="H4" s="2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 thickBot="1" x14ac:dyDescent="0.3">
      <c r="A5" s="1"/>
      <c r="B5" s="225" t="s">
        <v>11</v>
      </c>
      <c r="C5" s="226"/>
      <c r="D5" s="110">
        <v>1000</v>
      </c>
      <c r="E5" s="2"/>
      <c r="F5" s="217"/>
      <c r="G5" s="218"/>
      <c r="H5" s="219"/>
      <c r="I5" s="10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72" customFormat="1" ht="18.75" customHeight="1" thickBot="1" x14ac:dyDescent="0.3">
      <c r="A6" s="85"/>
      <c r="B6" s="229" t="s">
        <v>53</v>
      </c>
      <c r="C6" s="230"/>
      <c r="D6" s="153">
        <v>300</v>
      </c>
      <c r="E6" s="109"/>
      <c r="F6" s="220">
        <f ca="1">SUM('Финансовая модель'!B31:Z31)</f>
        <v>10</v>
      </c>
      <c r="G6" s="221"/>
      <c r="H6" s="222"/>
      <c r="I6" s="86"/>
      <c r="J6" s="86"/>
      <c r="K6" s="86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18.75" customHeight="1" x14ac:dyDescent="0.25">
      <c r="A7" s="1"/>
      <c r="B7" s="223" t="s">
        <v>70</v>
      </c>
      <c r="C7" s="224"/>
      <c r="D7" s="111">
        <f>SUM('Финансовая модель'!C15:Z15)/24</f>
        <v>22750</v>
      </c>
      <c r="E7" s="10"/>
      <c r="F7" s="10"/>
      <c r="G7" s="10"/>
      <c r="H7" s="10"/>
      <c r="I7" s="10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8" customFormat="1" ht="18.75" customHeight="1" thickBot="1" x14ac:dyDescent="0.3">
      <c r="A8" s="85"/>
      <c r="B8" s="227" t="s">
        <v>71</v>
      </c>
      <c r="C8" s="228"/>
      <c r="D8" s="112">
        <v>6</v>
      </c>
      <c r="E8" s="109"/>
      <c r="F8" s="86"/>
      <c r="G8" s="86"/>
      <c r="H8" s="86"/>
      <c r="I8" s="86"/>
      <c r="J8" s="8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ht="30" customHeight="1" x14ac:dyDescent="0.25">
      <c r="A9" s="1"/>
      <c r="B9" s="1"/>
      <c r="C9" s="4"/>
      <c r="D9" s="1"/>
      <c r="E9" s="10"/>
      <c r="F9" s="10"/>
      <c r="G9" s="10"/>
      <c r="H9" s="10"/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 x14ac:dyDescent="0.25">
      <c r="A10" s="1"/>
      <c r="B10" s="212"/>
      <c r="C10" s="213"/>
      <c r="D10" s="213"/>
      <c r="E10" s="10"/>
      <c r="F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9.75" customHeight="1" x14ac:dyDescent="0.25">
      <c r="A11" s="1"/>
      <c r="B11" s="100"/>
      <c r="C11" s="100"/>
      <c r="D11" s="100"/>
      <c r="E11" s="10"/>
      <c r="F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9.75" customHeight="1" x14ac:dyDescent="0.25">
      <c r="A12" s="1"/>
      <c r="B12" s="113"/>
      <c r="C12" s="113"/>
      <c r="D12" s="113"/>
      <c r="E12" s="10"/>
      <c r="F12" s="10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0" customHeight="1" x14ac:dyDescent="0.25">
      <c r="A13" s="1"/>
      <c r="B13" s="114"/>
      <c r="C13" s="114"/>
      <c r="D13" s="115"/>
      <c r="E13" s="10"/>
      <c r="F13" s="10"/>
      <c r="G13" s="10"/>
      <c r="H13" s="10"/>
      <c r="I13" s="10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" customHeight="1" x14ac:dyDescent="0.25">
      <c r="A14" s="1"/>
      <c r="B14" s="116"/>
      <c r="C14" s="117"/>
      <c r="D14" s="117"/>
      <c r="E14" s="10"/>
      <c r="F14" s="10"/>
      <c r="G14" s="10"/>
      <c r="H14" s="10"/>
      <c r="I14" s="10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" customHeight="1" x14ac:dyDescent="0.25">
      <c r="B15" s="116"/>
      <c r="C15" s="117"/>
      <c r="D15" s="117"/>
    </row>
    <row r="16" spans="1:27" ht="21" customHeight="1" x14ac:dyDescent="0.25">
      <c r="B16" s="116"/>
      <c r="C16" s="117"/>
      <c r="D16" s="117"/>
    </row>
    <row r="17" spans="2:5" ht="15.75" customHeight="1" x14ac:dyDescent="0.25">
      <c r="B17" s="84"/>
      <c r="C17" s="84"/>
      <c r="D17" s="84"/>
    </row>
    <row r="18" spans="2:5" ht="34.5" customHeight="1" x14ac:dyDescent="0.25">
      <c r="B18" s="212"/>
      <c r="C18" s="213"/>
      <c r="D18" s="213"/>
      <c r="E18" s="99"/>
    </row>
    <row r="19" spans="2:5" ht="10.5" customHeight="1" x14ac:dyDescent="0.25">
      <c r="B19" s="100"/>
      <c r="C19" s="100"/>
      <c r="D19" s="100"/>
      <c r="E19" s="99"/>
    </row>
    <row r="20" spans="2:5" ht="8.25" customHeight="1" x14ac:dyDescent="0.25">
      <c r="B20" s="101"/>
      <c r="C20" s="101"/>
      <c r="D20" s="101"/>
      <c r="E20" s="99"/>
    </row>
    <row r="21" spans="2:5" ht="30" customHeight="1" x14ac:dyDescent="0.25">
      <c r="B21" s="102"/>
      <c r="C21" s="103"/>
      <c r="D21" s="103"/>
      <c r="E21" s="99"/>
    </row>
    <row r="22" spans="2:5" ht="15.75" customHeight="1" x14ac:dyDescent="0.25">
      <c r="B22" s="104"/>
      <c r="C22" s="105"/>
      <c r="D22" s="106"/>
      <c r="E22" s="99"/>
    </row>
    <row r="23" spans="2:5" ht="15.75" customHeight="1" x14ac:dyDescent="0.25">
      <c r="B23" s="104"/>
      <c r="C23" s="105"/>
      <c r="D23" s="106"/>
      <c r="E23" s="99"/>
    </row>
    <row r="24" spans="2:5" ht="15.75" customHeight="1" x14ac:dyDescent="0.25">
      <c r="B24" s="104"/>
      <c r="C24" s="105"/>
      <c r="D24" s="106"/>
      <c r="E24" s="99"/>
    </row>
    <row r="25" spans="2:5" ht="15.75" customHeight="1" x14ac:dyDescent="0.25">
      <c r="B25" s="107"/>
      <c r="C25" s="105"/>
      <c r="D25" s="108"/>
      <c r="E25" s="99"/>
    </row>
    <row r="26" spans="2:5" ht="15.75" customHeight="1" x14ac:dyDescent="0.25">
      <c r="B26" s="107"/>
      <c r="C26" s="105"/>
      <c r="D26" s="108"/>
      <c r="E26" s="99"/>
    </row>
    <row r="27" spans="2:5" ht="15.75" customHeight="1" x14ac:dyDescent="0.25">
      <c r="B27" s="99"/>
      <c r="C27" s="99"/>
      <c r="D27" s="99"/>
      <c r="E27" s="99"/>
    </row>
    <row r="28" spans="2:5" ht="15.75" customHeight="1" x14ac:dyDescent="0.25"/>
    <row r="29" spans="2:5" ht="15.75" customHeight="1" x14ac:dyDescent="0.25"/>
    <row r="30" spans="2:5" ht="15.75" customHeight="1" x14ac:dyDescent="0.25"/>
    <row r="31" spans="2:5" ht="15.75" customHeight="1" x14ac:dyDescent="0.25"/>
    <row r="32" spans="2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11">
    <mergeCell ref="B18:D18"/>
    <mergeCell ref="B10:D10"/>
    <mergeCell ref="B1:H1"/>
    <mergeCell ref="B2:H2"/>
    <mergeCell ref="B4:D4"/>
    <mergeCell ref="F4:H5"/>
    <mergeCell ref="F6:H6"/>
    <mergeCell ref="B7:C7"/>
    <mergeCell ref="B5:C5"/>
    <mergeCell ref="B8:C8"/>
    <mergeCell ref="B6:C6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AT997"/>
  <sheetViews>
    <sheetView showGridLines="0" workbookViewId="0">
      <pane xSplit="1" topLeftCell="B1" activePane="topRight" state="frozen"/>
      <selection activeCell="D29" sqref="D29"/>
      <selection pane="topRight" activeCell="E18" sqref="E18"/>
    </sheetView>
  </sheetViews>
  <sheetFormatPr defaultColWidth="14.42578125" defaultRowHeight="15" customHeight="1" outlineLevelRow="1" x14ac:dyDescent="0.25"/>
  <cols>
    <col min="1" max="1" width="38.140625" customWidth="1"/>
    <col min="2" max="13" width="10.5703125" customWidth="1"/>
    <col min="14" max="25" width="13" customWidth="1"/>
    <col min="26" max="26" width="14.140625" customWidth="1"/>
    <col min="27" max="46" width="8.7109375" customWidth="1"/>
  </cols>
  <sheetData>
    <row r="1" spans="1:46" ht="23.25" customHeight="1" x14ac:dyDescent="0.25">
      <c r="A1" s="236" t="s">
        <v>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  <c r="AA1" s="19"/>
      <c r="AB1" s="20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5" customHeight="1" x14ac:dyDescent="0.25">
      <c r="A2" s="21"/>
      <c r="B2" s="22"/>
      <c r="C2" s="23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4">
        <v>24</v>
      </c>
      <c r="AA2" s="19"/>
      <c r="AB2" s="20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15" customHeight="1" x14ac:dyDescent="0.25">
      <c r="A3" s="25" t="s">
        <v>27</v>
      </c>
      <c r="B3" s="75" t="s">
        <v>28</v>
      </c>
      <c r="C3" s="76">
        <f ca="1">EDATE(DATE(YEAR(AB3),MONTH(AB3),DAY(AB3)),'Исходные данные'!D14)</f>
        <v>43820</v>
      </c>
      <c r="D3" s="76">
        <f ca="1">EDATE(DATE(YEAR(C3),MONTH(C3),DAY(C3)),1)</f>
        <v>43851</v>
      </c>
      <c r="E3" s="76">
        <f ca="1">EDATE(DATE(YEAR(D3),MONTH(D3),DAY(D3)),1)</f>
        <v>43882</v>
      </c>
      <c r="F3" s="76">
        <f t="shared" ref="F3:Z3" ca="1" si="0">EDATE(DATE(YEAR(E3),MONTH(E3),DAY(E3)),1)</f>
        <v>43911</v>
      </c>
      <c r="G3" s="76">
        <f t="shared" ca="1" si="0"/>
        <v>43942</v>
      </c>
      <c r="H3" s="76">
        <f t="shared" ca="1" si="0"/>
        <v>43972</v>
      </c>
      <c r="I3" s="76">
        <f t="shared" ca="1" si="0"/>
        <v>44003</v>
      </c>
      <c r="J3" s="76">
        <f t="shared" ca="1" si="0"/>
        <v>44033</v>
      </c>
      <c r="K3" s="76">
        <f t="shared" ca="1" si="0"/>
        <v>44064</v>
      </c>
      <c r="L3" s="76">
        <f t="shared" ca="1" si="0"/>
        <v>44095</v>
      </c>
      <c r="M3" s="76">
        <f t="shared" ca="1" si="0"/>
        <v>44125</v>
      </c>
      <c r="N3" s="76">
        <f t="shared" ca="1" si="0"/>
        <v>44156</v>
      </c>
      <c r="O3" s="76">
        <f t="shared" ca="1" si="0"/>
        <v>44186</v>
      </c>
      <c r="P3" s="76">
        <f t="shared" ca="1" si="0"/>
        <v>44217</v>
      </c>
      <c r="Q3" s="76">
        <f t="shared" ca="1" si="0"/>
        <v>44248</v>
      </c>
      <c r="R3" s="76">
        <f t="shared" ca="1" si="0"/>
        <v>44276</v>
      </c>
      <c r="S3" s="76">
        <f t="shared" ca="1" si="0"/>
        <v>44307</v>
      </c>
      <c r="T3" s="76">
        <f t="shared" ca="1" si="0"/>
        <v>44337</v>
      </c>
      <c r="U3" s="76">
        <f t="shared" ca="1" si="0"/>
        <v>44368</v>
      </c>
      <c r="V3" s="76">
        <f t="shared" ca="1" si="0"/>
        <v>44398</v>
      </c>
      <c r="W3" s="76">
        <f t="shared" ca="1" si="0"/>
        <v>44429</v>
      </c>
      <c r="X3" s="76">
        <f t="shared" ca="1" si="0"/>
        <v>44460</v>
      </c>
      <c r="Y3" s="76">
        <f t="shared" ca="1" si="0"/>
        <v>44490</v>
      </c>
      <c r="Z3" s="76">
        <f t="shared" ca="1" si="0"/>
        <v>44521</v>
      </c>
      <c r="AA3" s="77"/>
      <c r="AB3" s="89">
        <f ca="1">TODAY()</f>
        <v>43790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ht="3.75" customHeight="1" x14ac:dyDescent="0.25">
      <c r="A4" s="2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7"/>
      <c r="AA4" s="19"/>
      <c r="AB4" s="20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ht="15" customHeight="1" x14ac:dyDescent="0.25">
      <c r="A5" s="28" t="s">
        <v>29</v>
      </c>
      <c r="B5" s="237" t="s">
        <v>30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9"/>
      <c r="O5" s="240" t="s">
        <v>31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41"/>
      <c r="AA5" s="19"/>
      <c r="AB5" s="20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98" customFormat="1" ht="15" customHeight="1" x14ac:dyDescent="0.25">
      <c r="A6" s="127" t="s">
        <v>72</v>
      </c>
      <c r="B6" s="128"/>
      <c r="C6" s="129">
        <f ca="1">IF(MONTH(C3)=1,60%,IF(MONTH(C3)=2,80%,IF(MONTH(C3)=3,100%,IF(MONTH(C3)=4,100%,IF(MONTH(C3)=5,100%,IF(MONTH(C3)=6,100%,IF(MONTH(C3)=7,100%,IF(MONTH(C3)=8,100%,IF(MONTH(C3)=9,100%,IF(MONTH(C3)=10,120%,IF(MONTH(C3)=11,110%,IF(MONTH(C3)=12,130%,"ошибка"))))))))))))</f>
        <v>1.3</v>
      </c>
      <c r="D6" s="129">
        <f ca="1">IF(MONTH(D3)=1,60%,IF(MONTH(D3)=2,80%,IF(MONTH(D3)=3,100%,IF(MONTH(D3)=4,100%,IF(MONTH(D3)=5,100%,IF(MONTH(D3)=6,100%,IF(MONTH(D3)=7,100%,IF(MONTH(D3)=8,100%,IF(MONTH(D3)=9,100%,IF(MONTH(D3)=10,120%,IF(MONTH(D3)=11,110%,IF(MONTH(D3)=12,130%,"ошибка"))))))))))))</f>
        <v>0.6</v>
      </c>
      <c r="E6" s="129">
        <f t="shared" ref="E6:Z6" ca="1" si="1">IF(MONTH(E3)=1,60%,IF(MONTH(E3)=2,80%,IF(MONTH(E3)=3,100%,IF(MONTH(E3)=4,100%,IF(MONTH(E3)=5,100%,IF(MONTH(E3)=6,100%,IF(MONTH(E3)=7,100%,IF(MONTH(E3)=8,100%,IF(MONTH(E3)=9,100%,IF(MONTH(E3)=10,120%,IF(MONTH(E3)=11,110%,IF(MONTH(E3)=12,130%,"ошибка"))))))))))))</f>
        <v>0.8</v>
      </c>
      <c r="F6" s="129">
        <f t="shared" ca="1" si="1"/>
        <v>1</v>
      </c>
      <c r="G6" s="129">
        <f t="shared" ca="1" si="1"/>
        <v>1</v>
      </c>
      <c r="H6" s="129">
        <f t="shared" ca="1" si="1"/>
        <v>1</v>
      </c>
      <c r="I6" s="129">
        <f t="shared" ca="1" si="1"/>
        <v>1</v>
      </c>
      <c r="J6" s="129">
        <f t="shared" ca="1" si="1"/>
        <v>1</v>
      </c>
      <c r="K6" s="129">
        <f t="shared" ca="1" si="1"/>
        <v>1</v>
      </c>
      <c r="L6" s="129">
        <f t="shared" ca="1" si="1"/>
        <v>1</v>
      </c>
      <c r="M6" s="129">
        <f t="shared" ca="1" si="1"/>
        <v>1.2</v>
      </c>
      <c r="N6" s="129">
        <f t="shared" ca="1" si="1"/>
        <v>1.1000000000000001</v>
      </c>
      <c r="O6" s="129">
        <f t="shared" ca="1" si="1"/>
        <v>1.3</v>
      </c>
      <c r="P6" s="129">
        <f t="shared" ca="1" si="1"/>
        <v>0.6</v>
      </c>
      <c r="Q6" s="129">
        <f t="shared" ca="1" si="1"/>
        <v>0.8</v>
      </c>
      <c r="R6" s="129">
        <f t="shared" ca="1" si="1"/>
        <v>1</v>
      </c>
      <c r="S6" s="129">
        <f t="shared" ca="1" si="1"/>
        <v>1</v>
      </c>
      <c r="T6" s="129">
        <f t="shared" ca="1" si="1"/>
        <v>1</v>
      </c>
      <c r="U6" s="129">
        <f t="shared" ca="1" si="1"/>
        <v>1</v>
      </c>
      <c r="V6" s="129">
        <f t="shared" ca="1" si="1"/>
        <v>1</v>
      </c>
      <c r="W6" s="129">
        <f t="shared" ca="1" si="1"/>
        <v>1</v>
      </c>
      <c r="X6" s="129">
        <f t="shared" ca="1" si="1"/>
        <v>1</v>
      </c>
      <c r="Y6" s="129">
        <f t="shared" ca="1" si="1"/>
        <v>1.2</v>
      </c>
      <c r="Z6" s="129">
        <f t="shared" ca="1" si="1"/>
        <v>1.1000000000000001</v>
      </c>
      <c r="AA6" s="80"/>
      <c r="AB6" s="2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</row>
    <row r="7" spans="1:46" ht="15" customHeight="1" x14ac:dyDescent="0.25">
      <c r="A7" s="29" t="s">
        <v>32</v>
      </c>
      <c r="B7" s="130"/>
      <c r="C7" s="131">
        <f ca="1">'Ключевые показатели'!$D$6*'Исходные данные'!$D$17*C6</f>
        <v>390</v>
      </c>
      <c r="D7" s="131">
        <f ca="1">'Ключевые показатели'!$D$6*'Исходные данные'!$D$17*D6</f>
        <v>180</v>
      </c>
      <c r="E7" s="131">
        <f ca="1">'Ключевые показатели'!$D$6*'Исходные данные'!$D$17*E6</f>
        <v>240</v>
      </c>
      <c r="F7" s="131">
        <f ca="1">'Ключевые показатели'!$D$6*'Исходные данные'!$D$17*F6</f>
        <v>300</v>
      </c>
      <c r="G7" s="131">
        <f ca="1">'Ключевые показатели'!$D$6*'Исходные данные'!$D$17*G6</f>
        <v>300</v>
      </c>
      <c r="H7" s="131">
        <f ca="1">'Ключевые показатели'!$D$6*'Исходные данные'!$D$17*H6</f>
        <v>300</v>
      </c>
      <c r="I7" s="131">
        <f ca="1">'Ключевые показатели'!$D$6*'Исходные данные'!$D$17*I6</f>
        <v>300</v>
      </c>
      <c r="J7" s="131">
        <f ca="1">'Ключевые показатели'!$D$6*'Исходные данные'!$D$17*J6</f>
        <v>300</v>
      </c>
      <c r="K7" s="131">
        <f ca="1">'Ключевые показатели'!$D$6*'Исходные данные'!$D$17*K6</f>
        <v>300</v>
      </c>
      <c r="L7" s="131">
        <f ca="1">'Ключевые показатели'!$D$6*'Исходные данные'!$D$17*L6</f>
        <v>300</v>
      </c>
      <c r="M7" s="131">
        <f ca="1">'Ключевые показатели'!$D$6*'Исходные данные'!$D$17*M6</f>
        <v>360</v>
      </c>
      <c r="N7" s="131">
        <f ca="1">'Ключевые показатели'!$D$6*'Исходные данные'!$D$17*N6</f>
        <v>330</v>
      </c>
      <c r="O7" s="131">
        <f ca="1">'Ключевые показатели'!$D$6*'Исходные данные'!$D$17*O6</f>
        <v>390</v>
      </c>
      <c r="P7" s="131">
        <f ca="1">'Ключевые показатели'!$D$6*'Исходные данные'!$D$17*P6</f>
        <v>180</v>
      </c>
      <c r="Q7" s="131">
        <f ca="1">'Ключевые показатели'!$D$6*'Исходные данные'!$D$17*Q6</f>
        <v>240</v>
      </c>
      <c r="R7" s="131">
        <f ca="1">'Ключевые показатели'!$D$6*'Исходные данные'!$D$17*R6</f>
        <v>300</v>
      </c>
      <c r="S7" s="131">
        <f ca="1">'Ключевые показатели'!$D$6*'Исходные данные'!$D$17*S6</f>
        <v>300</v>
      </c>
      <c r="T7" s="131">
        <f ca="1">'Ключевые показатели'!$D$6*'Исходные данные'!$D$17*T6</f>
        <v>300</v>
      </c>
      <c r="U7" s="131">
        <f ca="1">'Ключевые показатели'!$D$6*'Исходные данные'!$D$17*U6</f>
        <v>300</v>
      </c>
      <c r="V7" s="131">
        <f ca="1">'Ключевые показатели'!$D$6*'Исходные данные'!$D$17*V6</f>
        <v>300</v>
      </c>
      <c r="W7" s="131">
        <f ca="1">'Ключевые показатели'!$D$6*'Исходные данные'!$D$17*W6</f>
        <v>300</v>
      </c>
      <c r="X7" s="131">
        <f ca="1">'Ключевые показатели'!$D$6*'Исходные данные'!$D$17*X6</f>
        <v>300</v>
      </c>
      <c r="Y7" s="131">
        <f ca="1">'Ключевые показатели'!$D$6*'Исходные данные'!$D$17*Y6</f>
        <v>360</v>
      </c>
      <c r="Z7" s="131">
        <f ca="1">'Ключевые показатели'!$D$6*'Исходные данные'!$D$17*Z6</f>
        <v>330</v>
      </c>
      <c r="AA7" s="19"/>
      <c r="AB7" s="20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15" customHeight="1" x14ac:dyDescent="0.25">
      <c r="A8" s="35" t="s">
        <v>34</v>
      </c>
      <c r="B8" s="132"/>
      <c r="C8" s="133">
        <f ca="1">C7*C6*'Ключевые показатели'!$D$5</f>
        <v>507000</v>
      </c>
      <c r="D8" s="133">
        <f ca="1">D7*D6*'Ключевые показатели'!$D$5</f>
        <v>108000</v>
      </c>
      <c r="E8" s="133">
        <f ca="1">E7*E6*'Ключевые показатели'!$D$5</f>
        <v>192000</v>
      </c>
      <c r="F8" s="133">
        <f ca="1">F7*F6*'Ключевые показатели'!$D$5</f>
        <v>300000</v>
      </c>
      <c r="G8" s="133">
        <f ca="1">G7*G6*'Ключевые показатели'!$D$5</f>
        <v>300000</v>
      </c>
      <c r="H8" s="133">
        <f ca="1">H7*H6*'Ключевые показатели'!$D$5</f>
        <v>300000</v>
      </c>
      <c r="I8" s="133">
        <f ca="1">I7*I6*'Ключевые показатели'!$D$5</f>
        <v>300000</v>
      </c>
      <c r="J8" s="133">
        <f ca="1">J7*J6*'Ключевые показатели'!$D$5</f>
        <v>300000</v>
      </c>
      <c r="K8" s="133">
        <f ca="1">K7*K6*'Ключевые показатели'!$D$5</f>
        <v>300000</v>
      </c>
      <c r="L8" s="133">
        <f ca="1">L7*L6*'Ключевые показатели'!$D$5</f>
        <v>300000</v>
      </c>
      <c r="M8" s="133">
        <f ca="1">M7*M6*'Ключевые показатели'!$D$5</f>
        <v>432000</v>
      </c>
      <c r="N8" s="133">
        <f ca="1">N7*N6*'Ключевые показатели'!$D$5</f>
        <v>363000.00000000006</v>
      </c>
      <c r="O8" s="133">
        <f ca="1">O7*O6*'Ключевые показатели'!$D$5</f>
        <v>507000</v>
      </c>
      <c r="P8" s="133">
        <f ca="1">P7*P6*'Ключевые показатели'!$D$5</f>
        <v>108000</v>
      </c>
      <c r="Q8" s="133">
        <f ca="1">Q7*Q6*'Ключевые показатели'!$D$5</f>
        <v>192000</v>
      </c>
      <c r="R8" s="133">
        <f ca="1">R7*R6*'Ключевые показатели'!$D$5</f>
        <v>300000</v>
      </c>
      <c r="S8" s="133">
        <f ca="1">S7*S6*'Ключевые показатели'!$D$5</f>
        <v>300000</v>
      </c>
      <c r="T8" s="133">
        <f ca="1">T7*T6*'Ключевые показатели'!$D$5</f>
        <v>300000</v>
      </c>
      <c r="U8" s="133">
        <f ca="1">U7*U6*'Ключевые показатели'!$D$5</f>
        <v>300000</v>
      </c>
      <c r="V8" s="133">
        <f ca="1">V7*V6*'Ключевые показатели'!$D$5</f>
        <v>300000</v>
      </c>
      <c r="W8" s="133">
        <f ca="1">W7*W6*'Ключевые показатели'!$D$5</f>
        <v>300000</v>
      </c>
      <c r="X8" s="133">
        <f ca="1">X7*X6*'Ключевые показатели'!$D$5</f>
        <v>300000</v>
      </c>
      <c r="Y8" s="133">
        <f ca="1">Y7*Y6*'Ключевые показатели'!$D$5</f>
        <v>432000</v>
      </c>
      <c r="Z8" s="133">
        <f ca="1">Z7*Z6*'Ключевые показатели'!$D$5</f>
        <v>363000.00000000006</v>
      </c>
      <c r="AA8" s="19"/>
      <c r="AB8" s="20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ht="6" customHeight="1" x14ac:dyDescent="0.25">
      <c r="A9" s="39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5"/>
      <c r="AA9" s="19"/>
      <c r="AB9" s="2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15" customHeight="1" x14ac:dyDescent="0.25">
      <c r="A10" s="28" t="s">
        <v>36</v>
      </c>
      <c r="B10" s="231" t="s">
        <v>30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34" t="s">
        <v>31</v>
      </c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5"/>
      <c r="AA10" s="19"/>
      <c r="AB10" s="20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s="72" customFormat="1" ht="15" customHeight="1" x14ac:dyDescent="0.25">
      <c r="A11" s="82" t="s">
        <v>69</v>
      </c>
      <c r="B11" s="136"/>
      <c r="C11" s="137">
        <f ca="1">'Исходные данные'!$E$21*'Исходные данные'!$D$21+'Исходные данные'!$F$21*'Финансовая модель'!C8</f>
        <v>75490</v>
      </c>
      <c r="D11" s="137">
        <f ca="1">'Исходные данные'!$E$21*'Исходные данные'!$D$21+'Исходные данные'!$F$21*'Финансовая модель'!D8</f>
        <v>47560</v>
      </c>
      <c r="E11" s="137">
        <f ca="1">'Исходные данные'!$E$21*'Исходные данные'!$D$21+'Исходные данные'!$F$21*'Финансовая модель'!E8</f>
        <v>53440</v>
      </c>
      <c r="F11" s="137">
        <f ca="1">'Исходные данные'!$E$21*'Исходные данные'!$D$21+'Исходные данные'!$F$21*'Финансовая модель'!F8</f>
        <v>61000</v>
      </c>
      <c r="G11" s="137">
        <f ca="1">'Исходные данные'!$E$21*'Исходные данные'!$D$21+'Исходные данные'!$F$21*'Финансовая модель'!G8</f>
        <v>61000</v>
      </c>
      <c r="H11" s="137">
        <f ca="1">'Исходные данные'!$E$21*'Исходные данные'!$D$21+'Исходные данные'!$F$21*'Финансовая модель'!H8</f>
        <v>61000</v>
      </c>
      <c r="I11" s="137">
        <f ca="1">'Исходные данные'!$E$21*'Исходные данные'!$D$21+'Исходные данные'!$F$21*'Финансовая модель'!I8</f>
        <v>61000</v>
      </c>
      <c r="J11" s="137">
        <f ca="1">'Исходные данные'!$E$21*'Исходные данные'!$D$21+'Исходные данные'!$F$21*'Финансовая модель'!J8</f>
        <v>61000</v>
      </c>
      <c r="K11" s="137">
        <f ca="1">'Исходные данные'!$E$21*'Исходные данные'!$D$21+'Исходные данные'!$F$21*'Финансовая модель'!K8</f>
        <v>61000</v>
      </c>
      <c r="L11" s="137">
        <f ca="1">'Исходные данные'!$E$21*'Исходные данные'!$D$21+'Исходные данные'!$F$21*'Финансовая модель'!L8</f>
        <v>61000</v>
      </c>
      <c r="M11" s="137">
        <f ca="1">'Исходные данные'!$E$21*'Исходные данные'!$D$21+'Исходные данные'!$F$21*'Финансовая модель'!M8</f>
        <v>70240</v>
      </c>
      <c r="N11" s="137">
        <f ca="1">'Исходные данные'!$E$21*'Исходные данные'!$D$21+'Исходные данные'!$F$21*'Финансовая модель'!N8</f>
        <v>65410.000000000007</v>
      </c>
      <c r="O11" s="137">
        <f ca="1">'Исходные данные'!$E$21*'Исходные данные'!$D$21+'Исходные данные'!$F$21*'Финансовая модель'!O8</f>
        <v>75490</v>
      </c>
      <c r="P11" s="137">
        <f ca="1">'Исходные данные'!$E$21*'Исходные данные'!$D$21+'Исходные данные'!$F$21*'Финансовая модель'!P8</f>
        <v>47560</v>
      </c>
      <c r="Q11" s="137">
        <f ca="1">'Исходные данные'!$E$21*'Исходные данные'!$D$21+'Исходные данные'!$F$21*'Финансовая модель'!Q8</f>
        <v>53440</v>
      </c>
      <c r="R11" s="137">
        <f ca="1">'Исходные данные'!$E$21*'Исходные данные'!$D$21+'Исходные данные'!$F$21*'Финансовая модель'!R8</f>
        <v>61000</v>
      </c>
      <c r="S11" s="137">
        <f ca="1">'Исходные данные'!$E$21*'Исходные данные'!$D$21+'Исходные данные'!$F$21*'Финансовая модель'!S8</f>
        <v>61000</v>
      </c>
      <c r="T11" s="137">
        <f ca="1">'Исходные данные'!$E$21*'Исходные данные'!$D$21+'Исходные данные'!$F$21*'Финансовая модель'!T8</f>
        <v>61000</v>
      </c>
      <c r="U11" s="137">
        <f ca="1">'Исходные данные'!$E$21*'Исходные данные'!$D$21+'Исходные данные'!$F$21*'Финансовая модель'!U8</f>
        <v>61000</v>
      </c>
      <c r="V11" s="137">
        <f ca="1">'Исходные данные'!$E$21*'Исходные данные'!$D$21+'Исходные данные'!$F$21*'Финансовая модель'!V8</f>
        <v>61000</v>
      </c>
      <c r="W11" s="137">
        <f ca="1">'Исходные данные'!$E$21*'Исходные данные'!$D$21+'Исходные данные'!$F$21*'Финансовая модель'!W8</f>
        <v>61000</v>
      </c>
      <c r="X11" s="137">
        <f ca="1">'Исходные данные'!$E$21*'Исходные данные'!$D$21+'Исходные данные'!$F$21*'Финансовая модель'!X8</f>
        <v>61000</v>
      </c>
      <c r="Y11" s="137">
        <f ca="1">'Исходные данные'!$E$21*'Исходные данные'!$D$21+'Исходные данные'!$F$21*'Финансовая модель'!Y8</f>
        <v>70240</v>
      </c>
      <c r="Z11" s="137">
        <f ca="1">'Исходные данные'!$E$21*'Исходные данные'!$D$21+'Исходные данные'!$F$21*'Финансовая модель'!Z8</f>
        <v>65410.000000000007</v>
      </c>
      <c r="AA11" s="80"/>
      <c r="AB11" s="2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</row>
    <row r="12" spans="1:46" s="72" customFormat="1" ht="15" customHeight="1" x14ac:dyDescent="0.25">
      <c r="A12" s="82" t="s">
        <v>42</v>
      </c>
      <c r="B12" s="136"/>
      <c r="C12" s="137">
        <f ca="1">C11*30%</f>
        <v>22647</v>
      </c>
      <c r="D12" s="137">
        <f ca="1">D11*30%</f>
        <v>14268</v>
      </c>
      <c r="E12" s="137">
        <f t="shared" ref="E12:Z12" ca="1" si="2">E11*30%</f>
        <v>16032</v>
      </c>
      <c r="F12" s="137">
        <f t="shared" ca="1" si="2"/>
        <v>18300</v>
      </c>
      <c r="G12" s="137">
        <f t="shared" ca="1" si="2"/>
        <v>18300</v>
      </c>
      <c r="H12" s="137">
        <f t="shared" ca="1" si="2"/>
        <v>18300</v>
      </c>
      <c r="I12" s="137">
        <f t="shared" ca="1" si="2"/>
        <v>18300</v>
      </c>
      <c r="J12" s="137">
        <f t="shared" ca="1" si="2"/>
        <v>18300</v>
      </c>
      <c r="K12" s="137">
        <f t="shared" ca="1" si="2"/>
        <v>18300</v>
      </c>
      <c r="L12" s="137">
        <f t="shared" ca="1" si="2"/>
        <v>18300</v>
      </c>
      <c r="M12" s="137">
        <f t="shared" ca="1" si="2"/>
        <v>21072</v>
      </c>
      <c r="N12" s="137">
        <f t="shared" ca="1" si="2"/>
        <v>19623</v>
      </c>
      <c r="O12" s="137">
        <f t="shared" ca="1" si="2"/>
        <v>22647</v>
      </c>
      <c r="P12" s="137">
        <f t="shared" ca="1" si="2"/>
        <v>14268</v>
      </c>
      <c r="Q12" s="137">
        <f t="shared" ca="1" si="2"/>
        <v>16032</v>
      </c>
      <c r="R12" s="137">
        <f t="shared" ca="1" si="2"/>
        <v>18300</v>
      </c>
      <c r="S12" s="137">
        <f t="shared" ca="1" si="2"/>
        <v>18300</v>
      </c>
      <c r="T12" s="137">
        <f t="shared" ca="1" si="2"/>
        <v>18300</v>
      </c>
      <c r="U12" s="137">
        <f t="shared" ca="1" si="2"/>
        <v>18300</v>
      </c>
      <c r="V12" s="137">
        <f t="shared" ca="1" si="2"/>
        <v>18300</v>
      </c>
      <c r="W12" s="137">
        <f t="shared" ca="1" si="2"/>
        <v>18300</v>
      </c>
      <c r="X12" s="137">
        <f t="shared" ca="1" si="2"/>
        <v>18300</v>
      </c>
      <c r="Y12" s="137">
        <f t="shared" ca="1" si="2"/>
        <v>21072</v>
      </c>
      <c r="Z12" s="137">
        <f t="shared" ca="1" si="2"/>
        <v>19623</v>
      </c>
      <c r="AA12" s="80"/>
      <c r="AB12" s="2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</row>
    <row r="13" spans="1:46" s="162" customFormat="1" ht="15" customHeight="1" outlineLevel="1" x14ac:dyDescent="0.25">
      <c r="A13" s="158" t="s">
        <v>73</v>
      </c>
      <c r="B13" s="159"/>
      <c r="C13" s="160">
        <v>0</v>
      </c>
      <c r="D13" s="160">
        <f>IF('Исходные данные'!D10='Исходные данные'!R10,18000,0)</f>
        <v>0</v>
      </c>
      <c r="E13" s="160">
        <f>IF('Исходные данные'!D10='Исходные данные'!R10,18000,0)</f>
        <v>0</v>
      </c>
      <c r="F13" s="160">
        <v>18000</v>
      </c>
      <c r="G13" s="160">
        <v>18000</v>
      </c>
      <c r="H13" s="160">
        <v>18000</v>
      </c>
      <c r="I13" s="160">
        <v>18000</v>
      </c>
      <c r="J13" s="160">
        <v>18000</v>
      </c>
      <c r="K13" s="160">
        <v>18000</v>
      </c>
      <c r="L13" s="160">
        <v>18000</v>
      </c>
      <c r="M13" s="160">
        <v>18000</v>
      </c>
      <c r="N13" s="160">
        <v>18000</v>
      </c>
      <c r="O13" s="160">
        <v>18000</v>
      </c>
      <c r="P13" s="160">
        <v>18000</v>
      </c>
      <c r="Q13" s="160">
        <v>18000</v>
      </c>
      <c r="R13" s="160">
        <v>18000</v>
      </c>
      <c r="S13" s="160">
        <v>18000</v>
      </c>
      <c r="T13" s="160">
        <v>18000</v>
      </c>
      <c r="U13" s="160">
        <v>18000</v>
      </c>
      <c r="V13" s="160">
        <v>18000</v>
      </c>
      <c r="W13" s="160">
        <v>18000</v>
      </c>
      <c r="X13" s="160">
        <v>18000</v>
      </c>
      <c r="Y13" s="160">
        <v>18000</v>
      </c>
      <c r="Z13" s="160">
        <v>18000</v>
      </c>
      <c r="AA13" s="161"/>
      <c r="AB13" s="187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</row>
    <row r="14" spans="1:46" s="162" customFormat="1" ht="15" customHeight="1" outlineLevel="1" x14ac:dyDescent="0.25">
      <c r="A14" s="158" t="s">
        <v>46</v>
      </c>
      <c r="B14" s="159"/>
      <c r="C14" s="160">
        <f>7000*'Исходные данные'!$D$17</f>
        <v>7000</v>
      </c>
      <c r="D14" s="160">
        <f>7000*'Исходные данные'!$D$17</f>
        <v>7000</v>
      </c>
      <c r="E14" s="160">
        <f>7000*'Исходные данные'!$D$17</f>
        <v>7000</v>
      </c>
      <c r="F14" s="160">
        <f>7000*'Исходные данные'!$D$17</f>
        <v>7000</v>
      </c>
      <c r="G14" s="160">
        <f>7000*'Исходные данные'!$D$17</f>
        <v>7000</v>
      </c>
      <c r="H14" s="160">
        <f>7000*'Исходные данные'!$D$17</f>
        <v>7000</v>
      </c>
      <c r="I14" s="160">
        <f>7000*'Исходные данные'!$D$17</f>
        <v>7000</v>
      </c>
      <c r="J14" s="160">
        <f>7000*'Исходные данные'!$D$17</f>
        <v>7000</v>
      </c>
      <c r="K14" s="160">
        <f>7000*'Исходные данные'!$D$17</f>
        <v>7000</v>
      </c>
      <c r="L14" s="160">
        <f>7000*'Исходные данные'!$D$17</f>
        <v>7000</v>
      </c>
      <c r="M14" s="160">
        <f>7000*'Исходные данные'!$D$17</f>
        <v>7000</v>
      </c>
      <c r="N14" s="160">
        <f>7000*'Исходные данные'!$D$17</f>
        <v>7000</v>
      </c>
      <c r="O14" s="160">
        <f>7000*'Исходные данные'!$D$17</f>
        <v>7000</v>
      </c>
      <c r="P14" s="160">
        <f>7000*'Исходные данные'!$D$17</f>
        <v>7000</v>
      </c>
      <c r="Q14" s="160">
        <f>7000*'Исходные данные'!$D$17</f>
        <v>7000</v>
      </c>
      <c r="R14" s="160">
        <f>7000*'Исходные данные'!$D$17</f>
        <v>7000</v>
      </c>
      <c r="S14" s="160">
        <f>7000*'Исходные данные'!$D$17</f>
        <v>7000</v>
      </c>
      <c r="T14" s="160">
        <f>7000*'Исходные данные'!$D$17</f>
        <v>7000</v>
      </c>
      <c r="U14" s="160">
        <f>7000*'Исходные данные'!$D$17</f>
        <v>7000</v>
      </c>
      <c r="V14" s="160">
        <f>7000*'Исходные данные'!$D$17</f>
        <v>7000</v>
      </c>
      <c r="W14" s="160">
        <f>7000*'Исходные данные'!$D$17</f>
        <v>7000</v>
      </c>
      <c r="X14" s="160">
        <f>7000*'Исходные данные'!$D$17</f>
        <v>7000</v>
      </c>
      <c r="Y14" s="160">
        <f>7000*'Исходные данные'!$D$17</f>
        <v>7000</v>
      </c>
      <c r="Z14" s="160">
        <f>7000*'Исходные данные'!$D$17</f>
        <v>7000</v>
      </c>
      <c r="AA14" s="161"/>
      <c r="AB14" s="187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</row>
    <row r="15" spans="1:46" s="88" customFormat="1" ht="15" customHeight="1" x14ac:dyDescent="0.25">
      <c r="A15" s="90" t="s">
        <v>54</v>
      </c>
      <c r="B15" s="138"/>
      <c r="C15" s="139">
        <f t="shared" ref="C15:Z15" si="3">SUM(C13:C14)</f>
        <v>7000</v>
      </c>
      <c r="D15" s="139">
        <f t="shared" si="3"/>
        <v>7000</v>
      </c>
      <c r="E15" s="139">
        <f t="shared" si="3"/>
        <v>7000</v>
      </c>
      <c r="F15" s="139">
        <f t="shared" si="3"/>
        <v>25000</v>
      </c>
      <c r="G15" s="139">
        <f t="shared" si="3"/>
        <v>25000</v>
      </c>
      <c r="H15" s="139">
        <f t="shared" si="3"/>
        <v>25000</v>
      </c>
      <c r="I15" s="139">
        <f t="shared" si="3"/>
        <v>25000</v>
      </c>
      <c r="J15" s="139">
        <f t="shared" si="3"/>
        <v>25000</v>
      </c>
      <c r="K15" s="139">
        <f t="shared" si="3"/>
        <v>25000</v>
      </c>
      <c r="L15" s="139">
        <f t="shared" si="3"/>
        <v>25000</v>
      </c>
      <c r="M15" s="139">
        <f t="shared" si="3"/>
        <v>25000</v>
      </c>
      <c r="N15" s="139">
        <f t="shared" si="3"/>
        <v>25000</v>
      </c>
      <c r="O15" s="139">
        <f t="shared" si="3"/>
        <v>25000</v>
      </c>
      <c r="P15" s="139">
        <f t="shared" si="3"/>
        <v>25000</v>
      </c>
      <c r="Q15" s="139">
        <f t="shared" si="3"/>
        <v>25000</v>
      </c>
      <c r="R15" s="139">
        <f t="shared" si="3"/>
        <v>25000</v>
      </c>
      <c r="S15" s="139">
        <f t="shared" si="3"/>
        <v>25000</v>
      </c>
      <c r="T15" s="139">
        <f t="shared" si="3"/>
        <v>25000</v>
      </c>
      <c r="U15" s="139">
        <f t="shared" si="3"/>
        <v>25000</v>
      </c>
      <c r="V15" s="139">
        <f t="shared" si="3"/>
        <v>25000</v>
      </c>
      <c r="W15" s="139">
        <f t="shared" si="3"/>
        <v>25000</v>
      </c>
      <c r="X15" s="139">
        <f t="shared" si="3"/>
        <v>25000</v>
      </c>
      <c r="Y15" s="139">
        <f t="shared" si="3"/>
        <v>25000</v>
      </c>
      <c r="Z15" s="139">
        <f t="shared" si="3"/>
        <v>25000</v>
      </c>
      <c r="AA15" s="87"/>
      <c r="AB15" s="188">
        <f>SUM(C15:Z15)/24</f>
        <v>22750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46" ht="15" customHeight="1" x14ac:dyDescent="0.25">
      <c r="A16" s="81" t="s">
        <v>23</v>
      </c>
      <c r="B16" s="136"/>
      <c r="C16" s="137">
        <f>'Исходные данные'!$D$16*'Исходные данные'!$D$15*'Исходные данные'!$D$17</f>
        <v>56000</v>
      </c>
      <c r="D16" s="137">
        <f>'Исходные данные'!$D$16*'Исходные данные'!$D$15*'Исходные данные'!$D$17</f>
        <v>56000</v>
      </c>
      <c r="E16" s="137">
        <f>'Исходные данные'!$D$16*'Исходные данные'!$D$15*'Исходные данные'!$D$17</f>
        <v>56000</v>
      </c>
      <c r="F16" s="137">
        <f>'Исходные данные'!$D$16*'Исходные данные'!$D$15*'Исходные данные'!$D$17</f>
        <v>56000</v>
      </c>
      <c r="G16" s="137">
        <f>'Исходные данные'!$D$16*'Исходные данные'!$D$15*'Исходные данные'!$D$17</f>
        <v>56000</v>
      </c>
      <c r="H16" s="137">
        <f>'Исходные данные'!$D$16*'Исходные данные'!$D$15*'Исходные данные'!$D$17</f>
        <v>56000</v>
      </c>
      <c r="I16" s="137">
        <f>'Исходные данные'!$D$16*'Исходные данные'!$D$15*'Исходные данные'!$D$17</f>
        <v>56000</v>
      </c>
      <c r="J16" s="137">
        <f>'Исходные данные'!$D$16*'Исходные данные'!$D$15*'Исходные данные'!$D$17</f>
        <v>56000</v>
      </c>
      <c r="K16" s="137">
        <f>'Исходные данные'!$D$16*'Исходные данные'!$D$15*'Исходные данные'!$D$17</f>
        <v>56000</v>
      </c>
      <c r="L16" s="137">
        <f>'Исходные данные'!$D$16*'Исходные данные'!$D$15*'Исходные данные'!$D$17</f>
        <v>56000</v>
      </c>
      <c r="M16" s="137">
        <f>'Исходные данные'!$D$16*'Исходные данные'!$D$15*'Исходные данные'!$D$17</f>
        <v>56000</v>
      </c>
      <c r="N16" s="137">
        <f>'Исходные данные'!$D$16*'Исходные данные'!$D$15*'Исходные данные'!$D$17</f>
        <v>56000</v>
      </c>
      <c r="O16" s="137">
        <f>'Исходные данные'!$D$16*'Исходные данные'!$D$15*'Исходные данные'!$D$17</f>
        <v>56000</v>
      </c>
      <c r="P16" s="137">
        <f>'Исходные данные'!$D$16*'Исходные данные'!$D$15*'Исходные данные'!$D$17</f>
        <v>56000</v>
      </c>
      <c r="Q16" s="137">
        <f>'Исходные данные'!$D$16*'Исходные данные'!$D$15*'Исходные данные'!$D$17</f>
        <v>56000</v>
      </c>
      <c r="R16" s="137">
        <f>'Исходные данные'!$D$16*'Исходные данные'!$D$15*'Исходные данные'!$D$17</f>
        <v>56000</v>
      </c>
      <c r="S16" s="137">
        <f>'Исходные данные'!$D$16*'Исходные данные'!$D$15*'Исходные данные'!$D$17</f>
        <v>56000</v>
      </c>
      <c r="T16" s="137">
        <f>'Исходные данные'!$D$16*'Исходные данные'!$D$15*'Исходные данные'!$D$17</f>
        <v>56000</v>
      </c>
      <c r="U16" s="137">
        <f>'Исходные данные'!$D$16*'Исходные данные'!$D$15*'Исходные данные'!$D$17</f>
        <v>56000</v>
      </c>
      <c r="V16" s="137">
        <f>'Исходные данные'!$D$16*'Исходные данные'!$D$15*'Исходные данные'!$D$17</f>
        <v>56000</v>
      </c>
      <c r="W16" s="137">
        <f>'Исходные данные'!$D$16*'Исходные данные'!$D$15*'Исходные данные'!$D$17</f>
        <v>56000</v>
      </c>
      <c r="X16" s="137">
        <f>'Исходные данные'!$D$16*'Исходные данные'!$D$15*'Исходные данные'!$D$17</f>
        <v>56000</v>
      </c>
      <c r="Y16" s="137">
        <f>'Исходные данные'!$D$16*'Исходные данные'!$D$15*'Исходные данные'!$D$17</f>
        <v>56000</v>
      </c>
      <c r="Z16" s="137">
        <f>'Исходные данные'!$D$16*'Исходные данные'!$D$15*'Исходные данные'!$D$17</f>
        <v>56000</v>
      </c>
      <c r="AA16" s="19"/>
      <c r="AB16" s="187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15" customHeight="1" x14ac:dyDescent="0.25">
      <c r="A17" s="81" t="s">
        <v>18</v>
      </c>
      <c r="B17" s="136"/>
      <c r="C17" s="137">
        <f ca="1">C8*'Исходные данные'!$D$13</f>
        <v>0</v>
      </c>
      <c r="D17" s="137">
        <f ca="1">D8*'Исходные данные'!$D$13</f>
        <v>0</v>
      </c>
      <c r="E17" s="137">
        <f ca="1">E8*'Исходные данные'!$D$13</f>
        <v>0</v>
      </c>
      <c r="F17" s="137">
        <f ca="1">F8*'Исходные данные'!$D$13</f>
        <v>0</v>
      </c>
      <c r="G17" s="137">
        <f ca="1">G8*'Исходные данные'!$D$13</f>
        <v>0</v>
      </c>
      <c r="H17" s="137">
        <f ca="1">H8*'Исходные данные'!$D$13</f>
        <v>0</v>
      </c>
      <c r="I17" s="137">
        <f ca="1">I8*'Исходные данные'!$D$13</f>
        <v>0</v>
      </c>
      <c r="J17" s="137">
        <f ca="1">J8*'Исходные данные'!$D$13</f>
        <v>0</v>
      </c>
      <c r="K17" s="137">
        <f ca="1">K8*'Исходные данные'!$D$13</f>
        <v>0</v>
      </c>
      <c r="L17" s="137">
        <f ca="1">L8*'Исходные данные'!$D$13</f>
        <v>0</v>
      </c>
      <c r="M17" s="137">
        <f ca="1">M8*'Исходные данные'!$D$13</f>
        <v>0</v>
      </c>
      <c r="N17" s="137">
        <f ca="1">N8*'Исходные данные'!$D$13</f>
        <v>0</v>
      </c>
      <c r="O17" s="137">
        <f ca="1">O8*'Исходные данные'!$D$13</f>
        <v>0</v>
      </c>
      <c r="P17" s="137">
        <f ca="1">P8*'Исходные данные'!$D$13</f>
        <v>0</v>
      </c>
      <c r="Q17" s="137">
        <f ca="1">Q8*'Исходные данные'!$D$13</f>
        <v>0</v>
      </c>
      <c r="R17" s="137">
        <f ca="1">R8*'Исходные данные'!$D$13</f>
        <v>0</v>
      </c>
      <c r="S17" s="137">
        <f ca="1">S8*'Исходные данные'!$D$13</f>
        <v>0</v>
      </c>
      <c r="T17" s="137">
        <f ca="1">T8*'Исходные данные'!$D$13</f>
        <v>0</v>
      </c>
      <c r="U17" s="137">
        <f ca="1">U8*'Исходные данные'!$D$13</f>
        <v>0</v>
      </c>
      <c r="V17" s="137">
        <f ca="1">V8*'Исходные данные'!$D$13</f>
        <v>0</v>
      </c>
      <c r="W17" s="137">
        <f ca="1">W8*'Исходные данные'!$D$13</f>
        <v>0</v>
      </c>
      <c r="X17" s="137">
        <f ca="1">X8*'Исходные данные'!$D$13</f>
        <v>0</v>
      </c>
      <c r="Y17" s="137">
        <f ca="1">Y8*'Исходные данные'!$D$13</f>
        <v>0</v>
      </c>
      <c r="Z17" s="140">
        <f ca="1">Z8*'Исходные данные'!$D$13</f>
        <v>0</v>
      </c>
      <c r="AA17" s="19"/>
      <c r="AB17" s="187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s="72" customFormat="1" ht="15" customHeight="1" x14ac:dyDescent="0.25">
      <c r="A18" s="82" t="s">
        <v>38</v>
      </c>
      <c r="B18" s="136"/>
      <c r="C18" s="137">
        <f ca="1">C8/'Ключевые показатели'!$D$8</f>
        <v>84500</v>
      </c>
      <c r="D18" s="137">
        <f ca="1">D8/'Ключевые показатели'!$D$8</f>
        <v>18000</v>
      </c>
      <c r="E18" s="137">
        <f ca="1">E8/'Ключевые показатели'!$D$8</f>
        <v>32000</v>
      </c>
      <c r="F18" s="137">
        <f ca="1">F8/'Ключевые показатели'!$D$8</f>
        <v>50000</v>
      </c>
      <c r="G18" s="137">
        <f ca="1">G8/'Ключевые показатели'!$D$8</f>
        <v>50000</v>
      </c>
      <c r="H18" s="137">
        <f ca="1">H8/'Ключевые показатели'!$D$8</f>
        <v>50000</v>
      </c>
      <c r="I18" s="137">
        <f ca="1">I8/'Ключевые показатели'!$D$8</f>
        <v>50000</v>
      </c>
      <c r="J18" s="137">
        <f ca="1">J8/'Ключевые показатели'!$D$8</f>
        <v>50000</v>
      </c>
      <c r="K18" s="137">
        <f ca="1">K8/'Ключевые показатели'!$D$8</f>
        <v>50000</v>
      </c>
      <c r="L18" s="137">
        <f ca="1">L8/'Ключевые показатели'!$D$8</f>
        <v>50000</v>
      </c>
      <c r="M18" s="137">
        <f ca="1">M8/'Ключевые показатели'!$D$8</f>
        <v>72000</v>
      </c>
      <c r="N18" s="137">
        <f ca="1">N8/'Ключевые показатели'!$D$8</f>
        <v>60500.000000000007</v>
      </c>
      <c r="O18" s="137">
        <f ca="1">O8/'Ключевые показатели'!$D$8</f>
        <v>84500</v>
      </c>
      <c r="P18" s="137">
        <f ca="1">P8/'Ключевые показатели'!$D$8</f>
        <v>18000</v>
      </c>
      <c r="Q18" s="137">
        <f ca="1">Q8/'Ключевые показатели'!$D$8</f>
        <v>32000</v>
      </c>
      <c r="R18" s="137">
        <f ca="1">R8/'Ключевые показатели'!$D$8</f>
        <v>50000</v>
      </c>
      <c r="S18" s="137">
        <f ca="1">S8/'Ключевые показатели'!$D$8</f>
        <v>50000</v>
      </c>
      <c r="T18" s="137">
        <f ca="1">T8/'Ключевые показатели'!$D$8</f>
        <v>50000</v>
      </c>
      <c r="U18" s="137">
        <f ca="1">U8/'Ключевые показатели'!$D$8</f>
        <v>50000</v>
      </c>
      <c r="V18" s="137">
        <f ca="1">V8/'Ключевые показатели'!$D$8</f>
        <v>50000</v>
      </c>
      <c r="W18" s="137">
        <f ca="1">W8/'Ключевые показатели'!$D$8</f>
        <v>50000</v>
      </c>
      <c r="X18" s="137">
        <f ca="1">X8/'Ключевые показатели'!$D$8</f>
        <v>50000</v>
      </c>
      <c r="Y18" s="137">
        <f ca="1">Y8/'Ключевые показатели'!$D$8</f>
        <v>72000</v>
      </c>
      <c r="Z18" s="137">
        <f ca="1">Z8/'Ключевые показатели'!$D$8</f>
        <v>60500.000000000007</v>
      </c>
      <c r="AA18" s="80"/>
      <c r="AB18" s="187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</row>
    <row r="19" spans="1:46" ht="15" customHeight="1" x14ac:dyDescent="0.25">
      <c r="A19" s="81" t="s">
        <v>40</v>
      </c>
      <c r="B19" s="136"/>
      <c r="C19" s="137">
        <f>1500*'Исходные данные'!$D$17</f>
        <v>1500</v>
      </c>
      <c r="D19" s="137">
        <f>1500*'Исходные данные'!$D$17</f>
        <v>1500</v>
      </c>
      <c r="E19" s="137">
        <f>1500*'Исходные данные'!$D$17</f>
        <v>1500</v>
      </c>
      <c r="F19" s="137">
        <f>1500*'Исходные данные'!$D$17</f>
        <v>1500</v>
      </c>
      <c r="G19" s="137">
        <f>1500*'Исходные данные'!$D$17</f>
        <v>1500</v>
      </c>
      <c r="H19" s="137">
        <f>1500*'Исходные данные'!$D$17</f>
        <v>1500</v>
      </c>
      <c r="I19" s="137">
        <f>1500*'Исходные данные'!$D$17</f>
        <v>1500</v>
      </c>
      <c r="J19" s="137">
        <f>1500*'Исходные данные'!$D$17</f>
        <v>1500</v>
      </c>
      <c r="K19" s="137">
        <f>1500*'Исходные данные'!$D$17</f>
        <v>1500</v>
      </c>
      <c r="L19" s="137">
        <f>1500*'Исходные данные'!$D$17</f>
        <v>1500</v>
      </c>
      <c r="M19" s="137">
        <f>1500*'Исходные данные'!$D$17</f>
        <v>1500</v>
      </c>
      <c r="N19" s="137">
        <f>1500*'Исходные данные'!$D$17</f>
        <v>1500</v>
      </c>
      <c r="O19" s="137">
        <f>1500*'Исходные данные'!$D$17</f>
        <v>1500</v>
      </c>
      <c r="P19" s="137">
        <f>1500*'Исходные данные'!$D$17</f>
        <v>1500</v>
      </c>
      <c r="Q19" s="137">
        <f>1500*'Исходные данные'!$D$17</f>
        <v>1500</v>
      </c>
      <c r="R19" s="137">
        <f>1500*'Исходные данные'!$D$17</f>
        <v>1500</v>
      </c>
      <c r="S19" s="137">
        <f>1500*'Исходные данные'!$D$17</f>
        <v>1500</v>
      </c>
      <c r="T19" s="137">
        <f>1500*'Исходные данные'!$D$17</f>
        <v>1500</v>
      </c>
      <c r="U19" s="137">
        <f>1500*'Исходные данные'!$D$17</f>
        <v>1500</v>
      </c>
      <c r="V19" s="137">
        <f>1500*'Исходные данные'!$D$17</f>
        <v>1500</v>
      </c>
      <c r="W19" s="137">
        <f>1500*'Исходные данные'!$D$17</f>
        <v>1500</v>
      </c>
      <c r="X19" s="137">
        <f>1500*'Исходные данные'!$D$17</f>
        <v>1500</v>
      </c>
      <c r="Y19" s="137">
        <f>1500*'Исходные данные'!$D$17</f>
        <v>1500</v>
      </c>
      <c r="Z19" s="137">
        <f>1500*'Исходные данные'!$D$17</f>
        <v>1500</v>
      </c>
      <c r="AA19" s="19"/>
      <c r="AB19" s="2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15" customHeight="1" x14ac:dyDescent="0.25">
      <c r="A20" s="83" t="s">
        <v>47</v>
      </c>
      <c r="B20" s="136"/>
      <c r="C20" s="137">
        <v>0</v>
      </c>
      <c r="D20" s="137">
        <f>1000*'Исходные данные'!$D$17</f>
        <v>1000</v>
      </c>
      <c r="E20" s="137">
        <v>0</v>
      </c>
      <c r="F20" s="137">
        <v>0</v>
      </c>
      <c r="G20" s="137">
        <f>1000*'Исходные данные'!$D$17</f>
        <v>1000</v>
      </c>
      <c r="H20" s="137">
        <v>0</v>
      </c>
      <c r="I20" s="137">
        <v>0</v>
      </c>
      <c r="J20" s="137">
        <f>1000*'Исходные данные'!$D$17</f>
        <v>1000</v>
      </c>
      <c r="K20" s="137">
        <v>0</v>
      </c>
      <c r="L20" s="137">
        <v>0</v>
      </c>
      <c r="M20" s="137">
        <f>1000*'Исходные данные'!$D$17</f>
        <v>1000</v>
      </c>
      <c r="N20" s="137">
        <v>0</v>
      </c>
      <c r="O20" s="137">
        <v>0</v>
      </c>
      <c r="P20" s="137">
        <f>1000*'Исходные данные'!$D$17</f>
        <v>1000</v>
      </c>
      <c r="Q20" s="137">
        <v>0</v>
      </c>
      <c r="R20" s="137">
        <v>0</v>
      </c>
      <c r="S20" s="137">
        <f>1000*'Исходные данные'!$D$17</f>
        <v>1000</v>
      </c>
      <c r="T20" s="137">
        <v>0</v>
      </c>
      <c r="U20" s="137">
        <v>0</v>
      </c>
      <c r="V20" s="137">
        <f>1000*'Исходные данные'!$D$17</f>
        <v>1000</v>
      </c>
      <c r="W20" s="137">
        <v>0</v>
      </c>
      <c r="X20" s="137">
        <v>0</v>
      </c>
      <c r="Y20" s="137">
        <f>1000*'Исходные данные'!$D$17</f>
        <v>1000</v>
      </c>
      <c r="Z20" s="137">
        <v>0</v>
      </c>
      <c r="AA20" s="19"/>
      <c r="AB20" s="20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15" customHeight="1" x14ac:dyDescent="0.25">
      <c r="A21" s="81" t="s">
        <v>41</v>
      </c>
      <c r="B21" s="136"/>
      <c r="C21" s="137">
        <f t="shared" ref="C21:Z21" ca="1" si="4">C8*0.005</f>
        <v>2535</v>
      </c>
      <c r="D21" s="137">
        <f t="shared" ca="1" si="4"/>
        <v>540</v>
      </c>
      <c r="E21" s="137">
        <f t="shared" ca="1" si="4"/>
        <v>960</v>
      </c>
      <c r="F21" s="137">
        <f t="shared" ca="1" si="4"/>
        <v>1500</v>
      </c>
      <c r="G21" s="137">
        <f t="shared" ca="1" si="4"/>
        <v>1500</v>
      </c>
      <c r="H21" s="137">
        <f t="shared" ca="1" si="4"/>
        <v>1500</v>
      </c>
      <c r="I21" s="137">
        <f t="shared" ca="1" si="4"/>
        <v>1500</v>
      </c>
      <c r="J21" s="137">
        <f t="shared" ca="1" si="4"/>
        <v>1500</v>
      </c>
      <c r="K21" s="137">
        <f t="shared" ca="1" si="4"/>
        <v>1500</v>
      </c>
      <c r="L21" s="137">
        <f t="shared" ca="1" si="4"/>
        <v>1500</v>
      </c>
      <c r="M21" s="137">
        <f t="shared" ca="1" si="4"/>
        <v>2160</v>
      </c>
      <c r="N21" s="137">
        <f t="shared" ca="1" si="4"/>
        <v>1815.0000000000002</v>
      </c>
      <c r="O21" s="137">
        <f t="shared" ca="1" si="4"/>
        <v>2535</v>
      </c>
      <c r="P21" s="137">
        <f t="shared" ca="1" si="4"/>
        <v>540</v>
      </c>
      <c r="Q21" s="137">
        <f t="shared" ca="1" si="4"/>
        <v>960</v>
      </c>
      <c r="R21" s="137">
        <f t="shared" ca="1" si="4"/>
        <v>1500</v>
      </c>
      <c r="S21" s="137">
        <f t="shared" ca="1" si="4"/>
        <v>1500</v>
      </c>
      <c r="T21" s="137">
        <f t="shared" ca="1" si="4"/>
        <v>1500</v>
      </c>
      <c r="U21" s="137">
        <f t="shared" ca="1" si="4"/>
        <v>1500</v>
      </c>
      <c r="V21" s="137">
        <f t="shared" ca="1" si="4"/>
        <v>1500</v>
      </c>
      <c r="W21" s="137">
        <f t="shared" ca="1" si="4"/>
        <v>1500</v>
      </c>
      <c r="X21" s="137">
        <f t="shared" ca="1" si="4"/>
        <v>1500</v>
      </c>
      <c r="Y21" s="137">
        <f t="shared" ca="1" si="4"/>
        <v>2160</v>
      </c>
      <c r="Z21" s="137">
        <f t="shared" ca="1" si="4"/>
        <v>1815.0000000000002</v>
      </c>
      <c r="AA21" s="19"/>
      <c r="AB21" s="20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15" customHeight="1" x14ac:dyDescent="0.25">
      <c r="A22" s="63" t="s">
        <v>43</v>
      </c>
      <c r="B22" s="141"/>
      <c r="C22" s="142">
        <f ca="1">SUM(C11:C21)-C15</f>
        <v>249672</v>
      </c>
      <c r="D22" s="142">
        <f ca="1">SUM(D11:D21)-D15</f>
        <v>145868</v>
      </c>
      <c r="E22" s="142">
        <f t="shared" ref="E22:Z22" ca="1" si="5">SUM(E11:E21)-E15</f>
        <v>166932</v>
      </c>
      <c r="F22" s="142">
        <f t="shared" ca="1" si="5"/>
        <v>213300</v>
      </c>
      <c r="G22" s="142">
        <f t="shared" ca="1" si="5"/>
        <v>214300</v>
      </c>
      <c r="H22" s="142">
        <f t="shared" ca="1" si="5"/>
        <v>213300</v>
      </c>
      <c r="I22" s="142">
        <f t="shared" ca="1" si="5"/>
        <v>213300</v>
      </c>
      <c r="J22" s="142">
        <f t="shared" ca="1" si="5"/>
        <v>214300</v>
      </c>
      <c r="K22" s="142">
        <f t="shared" ca="1" si="5"/>
        <v>213300</v>
      </c>
      <c r="L22" s="142">
        <f t="shared" ca="1" si="5"/>
        <v>213300</v>
      </c>
      <c r="M22" s="142">
        <f t="shared" ca="1" si="5"/>
        <v>248972</v>
      </c>
      <c r="N22" s="142">
        <f t="shared" ca="1" si="5"/>
        <v>229848</v>
      </c>
      <c r="O22" s="142">
        <f t="shared" ca="1" si="5"/>
        <v>267672</v>
      </c>
      <c r="P22" s="142">
        <f t="shared" ca="1" si="5"/>
        <v>163868</v>
      </c>
      <c r="Q22" s="142">
        <f t="shared" ca="1" si="5"/>
        <v>184932</v>
      </c>
      <c r="R22" s="142">
        <f t="shared" ca="1" si="5"/>
        <v>213300</v>
      </c>
      <c r="S22" s="142">
        <f t="shared" ca="1" si="5"/>
        <v>214300</v>
      </c>
      <c r="T22" s="142">
        <f t="shared" ca="1" si="5"/>
        <v>213300</v>
      </c>
      <c r="U22" s="142">
        <f t="shared" ca="1" si="5"/>
        <v>213300</v>
      </c>
      <c r="V22" s="142">
        <f t="shared" ca="1" si="5"/>
        <v>214300</v>
      </c>
      <c r="W22" s="142">
        <f t="shared" ca="1" si="5"/>
        <v>213300</v>
      </c>
      <c r="X22" s="142">
        <f t="shared" ca="1" si="5"/>
        <v>213300</v>
      </c>
      <c r="Y22" s="142">
        <f t="shared" ca="1" si="5"/>
        <v>248972</v>
      </c>
      <c r="Z22" s="142">
        <f t="shared" ca="1" si="5"/>
        <v>229848</v>
      </c>
      <c r="AA22" s="20"/>
      <c r="AB22" s="20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7.5" customHeight="1" x14ac:dyDescent="0.25">
      <c r="A23" s="39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5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14.25" customHeight="1" x14ac:dyDescent="0.3">
      <c r="A24" s="64" t="s">
        <v>44</v>
      </c>
      <c r="B24" s="143"/>
      <c r="C24" s="144">
        <f t="shared" ref="C24:Z24" ca="1" si="6">C8-C22</f>
        <v>257328</v>
      </c>
      <c r="D24" s="144">
        <f t="shared" ca="1" si="6"/>
        <v>-37868</v>
      </c>
      <c r="E24" s="144">
        <f t="shared" ca="1" si="6"/>
        <v>25068</v>
      </c>
      <c r="F24" s="144">
        <f t="shared" ca="1" si="6"/>
        <v>86700</v>
      </c>
      <c r="G24" s="144">
        <f t="shared" ca="1" si="6"/>
        <v>85700</v>
      </c>
      <c r="H24" s="144">
        <f t="shared" ca="1" si="6"/>
        <v>86700</v>
      </c>
      <c r="I24" s="144">
        <f t="shared" ca="1" si="6"/>
        <v>86700</v>
      </c>
      <c r="J24" s="144">
        <f t="shared" ca="1" si="6"/>
        <v>85700</v>
      </c>
      <c r="K24" s="144">
        <f t="shared" ca="1" si="6"/>
        <v>86700</v>
      </c>
      <c r="L24" s="144">
        <f t="shared" ca="1" si="6"/>
        <v>86700</v>
      </c>
      <c r="M24" s="144">
        <f t="shared" ca="1" si="6"/>
        <v>183028</v>
      </c>
      <c r="N24" s="144">
        <f t="shared" ca="1" si="6"/>
        <v>133152.00000000006</v>
      </c>
      <c r="O24" s="144">
        <f t="shared" ca="1" si="6"/>
        <v>239328</v>
      </c>
      <c r="P24" s="144">
        <f t="shared" ca="1" si="6"/>
        <v>-55868</v>
      </c>
      <c r="Q24" s="144">
        <f t="shared" ca="1" si="6"/>
        <v>7068</v>
      </c>
      <c r="R24" s="144">
        <f t="shared" ca="1" si="6"/>
        <v>86700</v>
      </c>
      <c r="S24" s="144">
        <f t="shared" ca="1" si="6"/>
        <v>85700</v>
      </c>
      <c r="T24" s="144">
        <f t="shared" ca="1" si="6"/>
        <v>86700</v>
      </c>
      <c r="U24" s="144">
        <f t="shared" ca="1" si="6"/>
        <v>86700</v>
      </c>
      <c r="V24" s="144">
        <f t="shared" ca="1" si="6"/>
        <v>85700</v>
      </c>
      <c r="W24" s="144">
        <f t="shared" ca="1" si="6"/>
        <v>86700</v>
      </c>
      <c r="X24" s="144">
        <f t="shared" ca="1" si="6"/>
        <v>86700</v>
      </c>
      <c r="Y24" s="144">
        <f t="shared" ca="1" si="6"/>
        <v>183028</v>
      </c>
      <c r="Z24" s="145">
        <f t="shared" ca="1" si="6"/>
        <v>133152.00000000006</v>
      </c>
      <c r="AA24" s="65"/>
      <c r="AB24" s="65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</row>
    <row r="25" spans="1:46" ht="9" customHeight="1" x14ac:dyDescent="0.25">
      <c r="A25" s="67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5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ht="13.5" customHeight="1" x14ac:dyDescent="0.25">
      <c r="A26" s="97" t="s">
        <v>68</v>
      </c>
      <c r="B26" s="146"/>
      <c r="C26" s="146"/>
      <c r="D26" s="146">
        <f>2500*'Исходные данные'!$D$17</f>
        <v>2500</v>
      </c>
      <c r="E26" s="146"/>
      <c r="F26" s="146"/>
      <c r="G26" s="146">
        <f>2500*'Исходные данные'!$D$17</f>
        <v>2500</v>
      </c>
      <c r="H26" s="146"/>
      <c r="I26" s="146"/>
      <c r="J26" s="146">
        <f>2500*'Исходные данные'!$D$17</f>
        <v>2500</v>
      </c>
      <c r="K26" s="146"/>
      <c r="L26" s="146"/>
      <c r="M26" s="146">
        <f>2500*'Исходные данные'!$D$17</f>
        <v>2500</v>
      </c>
      <c r="N26" s="146"/>
      <c r="O26" s="146"/>
      <c r="P26" s="146">
        <f>2500*'Исходные данные'!$D$17</f>
        <v>2500</v>
      </c>
      <c r="Q26" s="146"/>
      <c r="R26" s="146"/>
      <c r="S26" s="146">
        <f>2500*'Исходные данные'!$D$17</f>
        <v>2500</v>
      </c>
      <c r="T26" s="146"/>
      <c r="U26" s="146"/>
      <c r="V26" s="146">
        <f>2500*'Исходные данные'!$D$17</f>
        <v>2500</v>
      </c>
      <c r="W26" s="146"/>
      <c r="X26" s="146"/>
      <c r="Y26" s="146">
        <f>2500*'Исходные данные'!$D$17</f>
        <v>2500</v>
      </c>
      <c r="Z26" s="146"/>
      <c r="AA26" s="20"/>
      <c r="AB26" s="20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ht="9" customHeight="1" x14ac:dyDescent="0.25">
      <c r="A27" s="67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ht="20.25" customHeight="1" x14ac:dyDescent="0.25">
      <c r="A28" s="68" t="s">
        <v>19</v>
      </c>
      <c r="B28" s="147"/>
      <c r="C28" s="148">
        <f t="shared" ref="C28:Z28" ca="1" si="7">C24-C26</f>
        <v>257328</v>
      </c>
      <c r="D28" s="148">
        <f t="shared" ca="1" si="7"/>
        <v>-40368</v>
      </c>
      <c r="E28" s="148">
        <f t="shared" ca="1" si="7"/>
        <v>25068</v>
      </c>
      <c r="F28" s="148">
        <f t="shared" ca="1" si="7"/>
        <v>86700</v>
      </c>
      <c r="G28" s="148">
        <f t="shared" ca="1" si="7"/>
        <v>83200</v>
      </c>
      <c r="H28" s="148">
        <f t="shared" ca="1" si="7"/>
        <v>86700</v>
      </c>
      <c r="I28" s="148">
        <f t="shared" ca="1" si="7"/>
        <v>86700</v>
      </c>
      <c r="J28" s="148">
        <f t="shared" ca="1" si="7"/>
        <v>83200</v>
      </c>
      <c r="K28" s="148">
        <f t="shared" ca="1" si="7"/>
        <v>86700</v>
      </c>
      <c r="L28" s="148">
        <f t="shared" ca="1" si="7"/>
        <v>86700</v>
      </c>
      <c r="M28" s="148">
        <f t="shared" ca="1" si="7"/>
        <v>180528</v>
      </c>
      <c r="N28" s="148">
        <f t="shared" ca="1" si="7"/>
        <v>133152.00000000006</v>
      </c>
      <c r="O28" s="148">
        <f t="shared" ca="1" si="7"/>
        <v>239328</v>
      </c>
      <c r="P28" s="148">
        <f t="shared" ca="1" si="7"/>
        <v>-58368</v>
      </c>
      <c r="Q28" s="148">
        <f t="shared" ca="1" si="7"/>
        <v>7068</v>
      </c>
      <c r="R28" s="148">
        <f t="shared" ca="1" si="7"/>
        <v>86700</v>
      </c>
      <c r="S28" s="148">
        <f t="shared" ca="1" si="7"/>
        <v>83200</v>
      </c>
      <c r="T28" s="148">
        <f t="shared" ca="1" si="7"/>
        <v>86700</v>
      </c>
      <c r="U28" s="148">
        <f t="shared" ca="1" si="7"/>
        <v>86700</v>
      </c>
      <c r="V28" s="148">
        <f t="shared" ca="1" si="7"/>
        <v>83200</v>
      </c>
      <c r="W28" s="148">
        <f t="shared" ca="1" si="7"/>
        <v>86700</v>
      </c>
      <c r="X28" s="148">
        <f t="shared" ca="1" si="7"/>
        <v>86700</v>
      </c>
      <c r="Y28" s="148">
        <f t="shared" ca="1" si="7"/>
        <v>180528</v>
      </c>
      <c r="Z28" s="149">
        <f t="shared" ca="1" si="7"/>
        <v>133152.00000000006</v>
      </c>
      <c r="AA28" s="20"/>
      <c r="AB28" s="20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ht="10.5" customHeight="1" x14ac:dyDescent="0.25">
      <c r="A29" s="67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5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18" customHeight="1" x14ac:dyDescent="0.25">
      <c r="A30" s="69" t="s">
        <v>45</v>
      </c>
      <c r="B30" s="150">
        <f>-Инвестиции!$E$13-B28</f>
        <v>-809000</v>
      </c>
      <c r="C30" s="150">
        <f t="shared" ref="C30:Z30" ca="1" si="8">B30+C28</f>
        <v>-551672</v>
      </c>
      <c r="D30" s="150">
        <f t="shared" ca="1" si="8"/>
        <v>-592040</v>
      </c>
      <c r="E30" s="150">
        <f t="shared" ca="1" si="8"/>
        <v>-566972</v>
      </c>
      <c r="F30" s="150">
        <f t="shared" ca="1" si="8"/>
        <v>-480272</v>
      </c>
      <c r="G30" s="150">
        <f t="shared" ca="1" si="8"/>
        <v>-397072</v>
      </c>
      <c r="H30" s="150">
        <f t="shared" ca="1" si="8"/>
        <v>-310372</v>
      </c>
      <c r="I30" s="150">
        <f t="shared" ca="1" si="8"/>
        <v>-223672</v>
      </c>
      <c r="J30" s="150">
        <f t="shared" ca="1" si="8"/>
        <v>-140472</v>
      </c>
      <c r="K30" s="150">
        <f t="shared" ca="1" si="8"/>
        <v>-53772</v>
      </c>
      <c r="L30" s="150">
        <f t="shared" ca="1" si="8"/>
        <v>32928</v>
      </c>
      <c r="M30" s="150">
        <f t="shared" ca="1" si="8"/>
        <v>213456</v>
      </c>
      <c r="N30" s="150">
        <f t="shared" ca="1" si="8"/>
        <v>346608.00000000006</v>
      </c>
      <c r="O30" s="150">
        <f t="shared" ca="1" si="8"/>
        <v>585936</v>
      </c>
      <c r="P30" s="150">
        <f t="shared" ca="1" si="8"/>
        <v>527568</v>
      </c>
      <c r="Q30" s="150">
        <f t="shared" ca="1" si="8"/>
        <v>534636</v>
      </c>
      <c r="R30" s="150">
        <f t="shared" ca="1" si="8"/>
        <v>621336</v>
      </c>
      <c r="S30" s="150">
        <f t="shared" ca="1" si="8"/>
        <v>704536</v>
      </c>
      <c r="T30" s="150">
        <f t="shared" ca="1" si="8"/>
        <v>791236</v>
      </c>
      <c r="U30" s="150">
        <f t="shared" ca="1" si="8"/>
        <v>877936</v>
      </c>
      <c r="V30" s="150">
        <f t="shared" ca="1" si="8"/>
        <v>961136</v>
      </c>
      <c r="W30" s="150">
        <f t="shared" ca="1" si="8"/>
        <v>1047836</v>
      </c>
      <c r="X30" s="150">
        <f t="shared" ca="1" si="8"/>
        <v>1134536</v>
      </c>
      <c r="Y30" s="150">
        <f t="shared" ca="1" si="8"/>
        <v>1315064</v>
      </c>
      <c r="Z30" s="151">
        <f t="shared" ca="1" si="8"/>
        <v>1448216</v>
      </c>
      <c r="AA30" s="70"/>
      <c r="AB30" s="70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6" ht="1.5" customHeight="1" x14ac:dyDescent="0.25">
      <c r="B31">
        <f t="shared" ref="B31:Z31" si="9">IF(B30&lt;0,1,0)</f>
        <v>1</v>
      </c>
      <c r="C31">
        <f t="shared" ca="1" si="9"/>
        <v>1</v>
      </c>
      <c r="D31">
        <f t="shared" ca="1" si="9"/>
        <v>1</v>
      </c>
      <c r="E31">
        <f t="shared" ca="1" si="9"/>
        <v>1</v>
      </c>
      <c r="F31">
        <f t="shared" ca="1" si="9"/>
        <v>1</v>
      </c>
      <c r="G31">
        <f t="shared" ca="1" si="9"/>
        <v>1</v>
      </c>
      <c r="H31">
        <f t="shared" ca="1" si="9"/>
        <v>1</v>
      </c>
      <c r="I31">
        <f t="shared" ca="1" si="9"/>
        <v>1</v>
      </c>
      <c r="J31">
        <f t="shared" ca="1" si="9"/>
        <v>1</v>
      </c>
      <c r="K31">
        <f t="shared" ca="1" si="9"/>
        <v>1</v>
      </c>
      <c r="L31">
        <f t="shared" ca="1" si="9"/>
        <v>0</v>
      </c>
      <c r="M31">
        <f t="shared" ca="1" si="9"/>
        <v>0</v>
      </c>
      <c r="N31">
        <f t="shared" ca="1" si="9"/>
        <v>0</v>
      </c>
      <c r="O31">
        <f t="shared" ca="1" si="9"/>
        <v>0</v>
      </c>
      <c r="P31">
        <f t="shared" ca="1" si="9"/>
        <v>0</v>
      </c>
      <c r="Q31">
        <f t="shared" ca="1" si="9"/>
        <v>0</v>
      </c>
      <c r="R31">
        <f t="shared" ca="1" si="9"/>
        <v>0</v>
      </c>
      <c r="S31">
        <f t="shared" ca="1" si="9"/>
        <v>0</v>
      </c>
      <c r="T31">
        <f t="shared" ca="1" si="9"/>
        <v>0</v>
      </c>
      <c r="U31">
        <f t="shared" ca="1" si="9"/>
        <v>0</v>
      </c>
      <c r="V31">
        <f t="shared" ca="1" si="9"/>
        <v>0</v>
      </c>
      <c r="W31">
        <f t="shared" ca="1" si="9"/>
        <v>0</v>
      </c>
      <c r="X31">
        <f t="shared" ca="1" si="9"/>
        <v>0</v>
      </c>
      <c r="Y31">
        <f t="shared" ca="1" si="9"/>
        <v>0</v>
      </c>
      <c r="Z31">
        <f t="shared" ca="1" si="9"/>
        <v>0</v>
      </c>
    </row>
    <row r="32" spans="1:46" ht="15.75" customHeight="1" x14ac:dyDescent="0.25"/>
    <row r="33" spans="3:3" ht="15.75" customHeight="1" x14ac:dyDescent="0.25"/>
    <row r="34" spans="3:3" ht="15.75" customHeight="1" x14ac:dyDescent="0.25"/>
    <row r="35" spans="3:3" ht="15.75" customHeight="1" x14ac:dyDescent="0.25"/>
    <row r="36" spans="3:3" ht="15.75" customHeight="1" x14ac:dyDescent="0.25"/>
    <row r="37" spans="3:3" ht="15.75" customHeight="1" x14ac:dyDescent="0.25">
      <c r="C37" s="72"/>
    </row>
    <row r="38" spans="3:3" ht="15.75" customHeight="1" x14ac:dyDescent="0.25">
      <c r="C38" s="72"/>
    </row>
    <row r="39" spans="3:3" ht="15.75" customHeight="1" x14ac:dyDescent="0.25">
      <c r="C39" s="72"/>
    </row>
    <row r="40" spans="3:3" ht="15.75" customHeight="1" x14ac:dyDescent="0.25">
      <c r="C40" s="72"/>
    </row>
    <row r="41" spans="3:3" ht="15.75" customHeight="1" x14ac:dyDescent="0.25">
      <c r="C41" s="72"/>
    </row>
    <row r="42" spans="3:3" ht="15.75" customHeight="1" x14ac:dyDescent="0.25">
      <c r="C42" s="72"/>
    </row>
    <row r="43" spans="3:3" ht="15.75" customHeight="1" x14ac:dyDescent="0.25">
      <c r="C43" s="72"/>
    </row>
    <row r="44" spans="3:3" ht="15.75" customHeight="1" x14ac:dyDescent="0.25">
      <c r="C44" s="72"/>
    </row>
    <row r="45" spans="3:3" ht="15.75" customHeight="1" x14ac:dyDescent="0.25">
      <c r="C45" s="72"/>
    </row>
    <row r="46" spans="3:3" ht="15.75" customHeight="1" x14ac:dyDescent="0.25">
      <c r="C46" s="72"/>
    </row>
    <row r="47" spans="3:3" ht="15.75" customHeight="1" x14ac:dyDescent="0.25">
      <c r="C47" s="72"/>
    </row>
    <row r="48" spans="3:3" ht="15.75" customHeight="1" x14ac:dyDescent="0.25">
      <c r="C48" s="72"/>
    </row>
    <row r="49" spans="3:3" ht="15.75" customHeight="1" x14ac:dyDescent="0.25">
      <c r="C49" s="72"/>
    </row>
    <row r="50" spans="3:3" ht="15.75" customHeight="1" x14ac:dyDescent="0.25">
      <c r="C50" s="72"/>
    </row>
    <row r="51" spans="3:3" ht="15.75" customHeight="1" x14ac:dyDescent="0.25">
      <c r="C51" s="72"/>
    </row>
    <row r="52" spans="3:3" ht="15.75" customHeight="1" x14ac:dyDescent="0.25">
      <c r="C52" s="72"/>
    </row>
    <row r="53" spans="3:3" ht="15.75" customHeight="1" x14ac:dyDescent="0.25">
      <c r="C53" s="72"/>
    </row>
    <row r="54" spans="3:3" ht="15.75" customHeight="1" x14ac:dyDescent="0.25">
      <c r="C54" s="72"/>
    </row>
    <row r="55" spans="3:3" ht="15.75" customHeight="1" x14ac:dyDescent="0.25">
      <c r="C55" s="72"/>
    </row>
    <row r="56" spans="3:3" ht="15.75" customHeight="1" x14ac:dyDescent="0.25">
      <c r="C56" s="72"/>
    </row>
    <row r="57" spans="3:3" ht="15.75" customHeight="1" x14ac:dyDescent="0.25">
      <c r="C57" s="72"/>
    </row>
    <row r="58" spans="3:3" ht="15.75" customHeight="1" x14ac:dyDescent="0.25">
      <c r="C58" s="72"/>
    </row>
    <row r="59" spans="3:3" ht="15.75" customHeight="1" x14ac:dyDescent="0.25">
      <c r="C59" s="72"/>
    </row>
    <row r="60" spans="3:3" ht="15.75" customHeight="1" x14ac:dyDescent="0.25"/>
    <row r="61" spans="3:3" ht="15.75" customHeight="1" x14ac:dyDescent="0.25"/>
    <row r="62" spans="3:3" ht="15.75" customHeight="1" x14ac:dyDescent="0.25"/>
    <row r="63" spans="3:3" ht="15.75" customHeight="1" x14ac:dyDescent="0.25"/>
    <row r="64" spans="3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5">
    <mergeCell ref="B10:N10"/>
    <mergeCell ref="O10:Z10"/>
    <mergeCell ref="A1:Z1"/>
    <mergeCell ref="B5:N5"/>
    <mergeCell ref="O5:Z5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9000"/>
  </sheetPr>
  <dimension ref="A1:U1000"/>
  <sheetViews>
    <sheetView showGridLines="0" workbookViewId="0">
      <selection activeCell="P23" sqref="P23"/>
    </sheetView>
  </sheetViews>
  <sheetFormatPr defaultColWidth="14.42578125" defaultRowHeight="15" customHeight="1" x14ac:dyDescent="0.25"/>
  <cols>
    <col min="1" max="26" width="8.710937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6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5"/>
    <row r="53" spans="1:21" ht="15.75" customHeight="1" x14ac:dyDescent="0.25"/>
    <row r="54" spans="1:21" ht="15.75" customHeight="1" x14ac:dyDescent="0.25"/>
    <row r="55" spans="1:21" ht="15.75" customHeight="1" x14ac:dyDescent="0.25"/>
    <row r="56" spans="1:21" ht="15.75" customHeight="1" x14ac:dyDescent="0.25"/>
    <row r="57" spans="1:21" ht="15.75" customHeight="1" x14ac:dyDescent="0.25"/>
    <row r="58" spans="1:21" ht="15.75" customHeight="1" x14ac:dyDescent="0.25"/>
    <row r="59" spans="1:21" ht="15.75" customHeight="1" x14ac:dyDescent="0.25"/>
    <row r="60" spans="1:21" ht="15.75" customHeight="1" x14ac:dyDescent="0.25"/>
    <row r="61" spans="1:21" ht="15.75" customHeight="1" x14ac:dyDescent="0.25"/>
    <row r="62" spans="1:21" ht="15.75" customHeight="1" x14ac:dyDescent="0.25"/>
    <row r="63" spans="1:21" ht="15.75" customHeight="1" x14ac:dyDescent="0.25"/>
    <row r="64" spans="1:2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A1000"/>
  <sheetViews>
    <sheetView showGridLines="0" workbookViewId="0">
      <selection activeCell="F25" sqref="F25"/>
    </sheetView>
  </sheetViews>
  <sheetFormatPr defaultColWidth="14.42578125" defaultRowHeight="15" customHeight="1" x14ac:dyDescent="0.25"/>
  <cols>
    <col min="1" max="1" width="8.7109375" customWidth="1"/>
    <col min="2" max="2" width="22.28515625" customWidth="1"/>
    <col min="3" max="3" width="11" customWidth="1"/>
    <col min="4" max="4" width="14.42578125" customWidth="1"/>
    <col min="5" max="27" width="12.85546875" customWidth="1"/>
  </cols>
  <sheetData>
    <row r="2" spans="1:27" ht="15" customHeight="1" thickBot="1" x14ac:dyDescent="0.3"/>
    <row r="3" spans="1:27" ht="15.75" thickBot="1" x14ac:dyDescent="0.3">
      <c r="B3" s="30" t="s">
        <v>33</v>
      </c>
      <c r="C3" s="31" t="str">
        <f>'Исходные данные'!R10</f>
        <v>Базовый</v>
      </c>
      <c r="D3" s="31" t="str">
        <f>'Исходные данные'!S10</f>
        <v>Оптимальный</v>
      </c>
      <c r="E3" s="31" t="str">
        <f>'Исходные данные'!T10</f>
        <v>Эксклюзив</v>
      </c>
    </row>
    <row r="4" spans="1:27" x14ac:dyDescent="0.25">
      <c r="B4" s="32" t="s">
        <v>17</v>
      </c>
      <c r="C4" s="33">
        <v>210000</v>
      </c>
      <c r="D4" s="33">
        <v>300000</v>
      </c>
      <c r="E4" s="33">
        <v>500000</v>
      </c>
    </row>
    <row r="5" spans="1:27" x14ac:dyDescent="0.25">
      <c r="B5" s="34" t="s">
        <v>18</v>
      </c>
      <c r="C5" s="36">
        <f>'Исходные данные'!D13</f>
        <v>0</v>
      </c>
      <c r="D5" s="36">
        <f>'Исходные данные'!D13</f>
        <v>0</v>
      </c>
      <c r="E5" s="36">
        <f>'Исходные данные'!D13</f>
        <v>0</v>
      </c>
    </row>
    <row r="6" spans="1:27" ht="15.75" thickBot="1" x14ac:dyDescent="0.3">
      <c r="B6" s="37" t="s">
        <v>35</v>
      </c>
      <c r="C6" s="38">
        <v>718000</v>
      </c>
      <c r="D6" s="38">
        <v>808000</v>
      </c>
      <c r="E6" s="186" t="s">
        <v>77</v>
      </c>
    </row>
    <row r="12" spans="1:27" ht="18.75" x14ac:dyDescent="0.25">
      <c r="B12" s="242" t="s">
        <v>78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</row>
    <row r="13" spans="1:27" ht="25.5" customHeight="1" x14ac:dyDescent="0.25">
      <c r="B13" s="244" t="s">
        <v>27</v>
      </c>
      <c r="C13" s="246" t="s">
        <v>28</v>
      </c>
      <c r="D13" s="40">
        <v>1</v>
      </c>
      <c r="E13" s="40">
        <v>2</v>
      </c>
      <c r="F13" s="40">
        <v>3</v>
      </c>
      <c r="G13" s="40">
        <v>4</v>
      </c>
      <c r="H13" s="40">
        <v>5</v>
      </c>
      <c r="I13" s="40">
        <v>6</v>
      </c>
      <c r="J13" s="40">
        <v>7</v>
      </c>
      <c r="K13" s="40">
        <v>8</v>
      </c>
      <c r="L13" s="40">
        <v>9</v>
      </c>
      <c r="M13" s="40">
        <v>10</v>
      </c>
      <c r="N13" s="40">
        <v>11</v>
      </c>
      <c r="O13" s="40">
        <v>12</v>
      </c>
      <c r="P13" s="40">
        <v>13</v>
      </c>
      <c r="Q13" s="40">
        <v>14</v>
      </c>
      <c r="R13" s="40">
        <v>15</v>
      </c>
      <c r="S13" s="40">
        <v>16</v>
      </c>
      <c r="T13" s="40">
        <v>17</v>
      </c>
      <c r="U13" s="40">
        <v>18</v>
      </c>
      <c r="V13" s="40">
        <v>19</v>
      </c>
      <c r="W13" s="40">
        <v>20</v>
      </c>
      <c r="X13" s="40">
        <v>21</v>
      </c>
      <c r="Y13" s="40">
        <v>22</v>
      </c>
      <c r="Z13" s="40">
        <v>23</v>
      </c>
      <c r="AA13" s="41">
        <v>24</v>
      </c>
    </row>
    <row r="14" spans="1:27" ht="16.5" customHeight="1" x14ac:dyDescent="0.25">
      <c r="B14" s="245"/>
      <c r="C14" s="247"/>
      <c r="D14" s="42">
        <f ca="1">'Финансовая модель'!C3</f>
        <v>43820</v>
      </c>
      <c r="E14" s="42">
        <f ca="1">'Финансовая модель'!D3</f>
        <v>43851</v>
      </c>
      <c r="F14" s="42">
        <f ca="1">'Финансовая модель'!E3</f>
        <v>43882</v>
      </c>
      <c r="G14" s="42">
        <f ca="1">'Финансовая модель'!F3</f>
        <v>43911</v>
      </c>
      <c r="H14" s="42">
        <f ca="1">'Финансовая модель'!G3</f>
        <v>43942</v>
      </c>
      <c r="I14" s="42">
        <f ca="1">'Финансовая модель'!H3</f>
        <v>43972</v>
      </c>
      <c r="J14" s="42">
        <f ca="1">'Финансовая модель'!I3</f>
        <v>44003</v>
      </c>
      <c r="K14" s="42">
        <f ca="1">'Финансовая модель'!J3</f>
        <v>44033</v>
      </c>
      <c r="L14" s="42">
        <f ca="1">'Финансовая модель'!K3</f>
        <v>44064</v>
      </c>
      <c r="M14" s="42">
        <f ca="1">'Финансовая модель'!L3</f>
        <v>44095</v>
      </c>
      <c r="N14" s="42">
        <f ca="1">'Финансовая модель'!M3</f>
        <v>44125</v>
      </c>
      <c r="O14" s="42">
        <f ca="1">'Финансовая модель'!N3</f>
        <v>44156</v>
      </c>
      <c r="P14" s="42">
        <f ca="1">'Финансовая модель'!O3</f>
        <v>44186</v>
      </c>
      <c r="Q14" s="42">
        <f ca="1">'Финансовая модель'!P3</f>
        <v>44217</v>
      </c>
      <c r="R14" s="42">
        <f ca="1">'Финансовая модель'!Q3</f>
        <v>44248</v>
      </c>
      <c r="S14" s="42">
        <f ca="1">'Финансовая модель'!R3</f>
        <v>44276</v>
      </c>
      <c r="T14" s="42">
        <f ca="1">'Финансовая модель'!S3</f>
        <v>44307</v>
      </c>
      <c r="U14" s="42">
        <f ca="1">'Финансовая модель'!T3</f>
        <v>44337</v>
      </c>
      <c r="V14" s="42">
        <f ca="1">'Финансовая модель'!U3</f>
        <v>44368</v>
      </c>
      <c r="W14" s="42">
        <f ca="1">'Финансовая модель'!V3</f>
        <v>44398</v>
      </c>
      <c r="X14" s="42">
        <f ca="1">'Финансовая модель'!W3</f>
        <v>44429</v>
      </c>
      <c r="Y14" s="42">
        <f ca="1">'Финансовая модель'!X3</f>
        <v>44460</v>
      </c>
      <c r="Z14" s="42">
        <f ca="1">'Финансовая модель'!Y3</f>
        <v>44490</v>
      </c>
      <c r="AA14" s="42">
        <f ca="1">'Финансовая модель'!Z3</f>
        <v>44521</v>
      </c>
    </row>
    <row r="15" spans="1:27" ht="15.75" x14ac:dyDescent="0.25">
      <c r="B15" s="43" t="s">
        <v>29</v>
      </c>
      <c r="C15" s="44">
        <v>0</v>
      </c>
      <c r="D15" s="45">
        <f ca="1">'Финансовая модель'!C8</f>
        <v>507000</v>
      </c>
      <c r="E15" s="45">
        <f ca="1">'Финансовая модель'!D8</f>
        <v>108000</v>
      </c>
      <c r="F15" s="45">
        <f ca="1">'Финансовая модель'!E8</f>
        <v>192000</v>
      </c>
      <c r="G15" s="45">
        <f ca="1">'Финансовая модель'!F8</f>
        <v>300000</v>
      </c>
      <c r="H15" s="45">
        <f ca="1">'Финансовая модель'!G8</f>
        <v>300000</v>
      </c>
      <c r="I15" s="45">
        <f ca="1">'Финансовая модель'!H8</f>
        <v>300000</v>
      </c>
      <c r="J15" s="45">
        <f ca="1">'Финансовая модель'!I8</f>
        <v>300000</v>
      </c>
      <c r="K15" s="45">
        <f ca="1">'Финансовая модель'!J8</f>
        <v>300000</v>
      </c>
      <c r="L15" s="45">
        <f ca="1">'Финансовая модель'!K8</f>
        <v>300000</v>
      </c>
      <c r="M15" s="45">
        <f ca="1">'Финансовая модель'!L8</f>
        <v>300000</v>
      </c>
      <c r="N15" s="45">
        <f ca="1">'Финансовая модель'!M8</f>
        <v>432000</v>
      </c>
      <c r="O15" s="45">
        <f ca="1">'Финансовая модель'!N8</f>
        <v>363000.00000000006</v>
      </c>
      <c r="P15" s="45">
        <f ca="1">'Финансовая модель'!O8</f>
        <v>507000</v>
      </c>
      <c r="Q15" s="45">
        <f ca="1">'Финансовая модель'!P8</f>
        <v>108000</v>
      </c>
      <c r="R15" s="45">
        <f ca="1">'Финансовая модель'!Q8</f>
        <v>192000</v>
      </c>
      <c r="S15" s="45">
        <f ca="1">'Финансовая модель'!R8</f>
        <v>300000</v>
      </c>
      <c r="T15" s="45">
        <f ca="1">'Финансовая модель'!S8</f>
        <v>300000</v>
      </c>
      <c r="U15" s="45">
        <f ca="1">'Финансовая модель'!T8</f>
        <v>300000</v>
      </c>
      <c r="V15" s="45">
        <f ca="1">'Финансовая модель'!U8</f>
        <v>300000</v>
      </c>
      <c r="W15" s="45">
        <f ca="1">'Финансовая модель'!V8</f>
        <v>300000</v>
      </c>
      <c r="X15" s="45">
        <f ca="1">'Финансовая модель'!W8</f>
        <v>300000</v>
      </c>
      <c r="Y15" s="45">
        <f ca="1">'Финансовая модель'!X8</f>
        <v>300000</v>
      </c>
      <c r="Z15" s="45">
        <f ca="1">'Финансовая модель'!Y8</f>
        <v>432000</v>
      </c>
      <c r="AA15" s="46">
        <f ca="1">'Финансовая модель'!Z8</f>
        <v>363000.00000000006</v>
      </c>
    </row>
    <row r="16" spans="1:27" ht="3.75" customHeight="1" x14ac:dyDescent="0.25">
      <c r="A16" s="47"/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</row>
    <row r="17" spans="1:27" ht="15.75" x14ac:dyDescent="0.25">
      <c r="B17" s="52" t="s">
        <v>36</v>
      </c>
      <c r="C17" s="53">
        <v>0</v>
      </c>
      <c r="D17" s="54">
        <f ca="1">'Финансовая модель'!C22</f>
        <v>249672</v>
      </c>
      <c r="E17" s="54">
        <f ca="1">'Финансовая модель'!D22</f>
        <v>145868</v>
      </c>
      <c r="F17" s="54">
        <f ca="1">'Финансовая модель'!E22</f>
        <v>166932</v>
      </c>
      <c r="G17" s="54">
        <f ca="1">'Финансовая модель'!F22</f>
        <v>213300</v>
      </c>
      <c r="H17" s="54">
        <f ca="1">'Финансовая модель'!G22</f>
        <v>214300</v>
      </c>
      <c r="I17" s="54">
        <f ca="1">'Финансовая модель'!H22</f>
        <v>213300</v>
      </c>
      <c r="J17" s="54">
        <f ca="1">'Финансовая модель'!I22</f>
        <v>213300</v>
      </c>
      <c r="K17" s="54">
        <f ca="1">'Финансовая модель'!J22</f>
        <v>214300</v>
      </c>
      <c r="L17" s="54">
        <f ca="1">'Финансовая модель'!K22</f>
        <v>213300</v>
      </c>
      <c r="M17" s="54">
        <f ca="1">'Финансовая модель'!L22</f>
        <v>213300</v>
      </c>
      <c r="N17" s="54">
        <f ca="1">'Финансовая модель'!M22</f>
        <v>248972</v>
      </c>
      <c r="O17" s="54">
        <f ca="1">'Финансовая модель'!N22</f>
        <v>229848</v>
      </c>
      <c r="P17" s="54">
        <f ca="1">'Финансовая модель'!O22</f>
        <v>267672</v>
      </c>
      <c r="Q17" s="54">
        <f ca="1">'Финансовая модель'!P22</f>
        <v>163868</v>
      </c>
      <c r="R17" s="54">
        <f ca="1">'Финансовая модель'!Q22</f>
        <v>184932</v>
      </c>
      <c r="S17" s="54">
        <f ca="1">'Финансовая модель'!R22</f>
        <v>213300</v>
      </c>
      <c r="T17" s="54">
        <f ca="1">'Финансовая модель'!S22</f>
        <v>214300</v>
      </c>
      <c r="U17" s="54">
        <f ca="1">'Финансовая модель'!T22</f>
        <v>213300</v>
      </c>
      <c r="V17" s="54">
        <f ca="1">'Финансовая модель'!U22</f>
        <v>213300</v>
      </c>
      <c r="W17" s="54">
        <f ca="1">'Финансовая модель'!V22</f>
        <v>214300</v>
      </c>
      <c r="X17" s="54">
        <f ca="1">'Финансовая модель'!W22</f>
        <v>213300</v>
      </c>
      <c r="Y17" s="54">
        <f ca="1">'Финансовая модель'!X22</f>
        <v>213300</v>
      </c>
      <c r="Z17" s="54">
        <f ca="1">'Финансовая модель'!Y22</f>
        <v>248972</v>
      </c>
      <c r="AA17" s="55">
        <f ca="1">'Финансовая модель'!Z22</f>
        <v>229848</v>
      </c>
    </row>
    <row r="18" spans="1:27" ht="3" customHeight="1" x14ac:dyDescent="0.25">
      <c r="A18" s="47"/>
      <c r="B18" s="56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</row>
    <row r="19" spans="1:27" ht="15.75" x14ac:dyDescent="0.25">
      <c r="B19" s="52" t="s">
        <v>37</v>
      </c>
      <c r="C19" s="53">
        <v>0</v>
      </c>
      <c r="D19" s="54">
        <f>'Финансовая модель'!C26</f>
        <v>0</v>
      </c>
      <c r="E19" s="54">
        <f>'Финансовая модель'!D26</f>
        <v>2500</v>
      </c>
      <c r="F19" s="54">
        <f>'Финансовая модель'!E26</f>
        <v>0</v>
      </c>
      <c r="G19" s="54">
        <f>'Финансовая модель'!F26</f>
        <v>0</v>
      </c>
      <c r="H19" s="54">
        <f>'Финансовая модель'!G26</f>
        <v>2500</v>
      </c>
      <c r="I19" s="54">
        <f>'Финансовая модель'!H26</f>
        <v>0</v>
      </c>
      <c r="J19" s="54">
        <f>'Финансовая модель'!I26</f>
        <v>0</v>
      </c>
      <c r="K19" s="54">
        <f>'Финансовая модель'!J26</f>
        <v>2500</v>
      </c>
      <c r="L19" s="54">
        <f>'Финансовая модель'!K26</f>
        <v>0</v>
      </c>
      <c r="M19" s="54">
        <f>'Финансовая модель'!L26</f>
        <v>0</v>
      </c>
      <c r="N19" s="54">
        <f>'Финансовая модель'!M26</f>
        <v>2500</v>
      </c>
      <c r="O19" s="54">
        <f>'Финансовая модель'!N26</f>
        <v>0</v>
      </c>
      <c r="P19" s="54">
        <f>'Финансовая модель'!O26</f>
        <v>0</v>
      </c>
      <c r="Q19" s="54">
        <f>'Финансовая модель'!P26</f>
        <v>2500</v>
      </c>
      <c r="R19" s="54">
        <f>'Финансовая модель'!Q26</f>
        <v>0</v>
      </c>
      <c r="S19" s="54">
        <f>'Финансовая модель'!R26</f>
        <v>0</v>
      </c>
      <c r="T19" s="54">
        <f>'Финансовая модель'!S26</f>
        <v>2500</v>
      </c>
      <c r="U19" s="54">
        <f>'Финансовая модель'!T26</f>
        <v>0</v>
      </c>
      <c r="V19" s="54">
        <f>'Финансовая модель'!U26</f>
        <v>0</v>
      </c>
      <c r="W19" s="54">
        <f>'Финансовая модель'!V26</f>
        <v>2500</v>
      </c>
      <c r="X19" s="54">
        <f>'Финансовая модель'!W26</f>
        <v>0</v>
      </c>
      <c r="Y19" s="54">
        <f>'Финансовая модель'!X26</f>
        <v>0</v>
      </c>
      <c r="Z19" s="54">
        <f>'Финансовая модель'!Y26</f>
        <v>2500</v>
      </c>
      <c r="AA19" s="55">
        <f>'Финансовая модель'!Z26</f>
        <v>0</v>
      </c>
    </row>
    <row r="20" spans="1:27" ht="3" customHeight="1" x14ac:dyDescent="0.25">
      <c r="A20" s="47"/>
      <c r="B20" s="5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</row>
    <row r="21" spans="1:27" ht="15.75" customHeight="1" x14ac:dyDescent="0.25">
      <c r="B21" s="52" t="s">
        <v>19</v>
      </c>
      <c r="C21" s="53">
        <f t="shared" ref="C21:AA21" si="0">C15-C17-C19</f>
        <v>0</v>
      </c>
      <c r="D21" s="57">
        <f t="shared" ca="1" si="0"/>
        <v>257328</v>
      </c>
      <c r="E21" s="57">
        <f t="shared" ca="1" si="0"/>
        <v>-40368</v>
      </c>
      <c r="F21" s="57">
        <f t="shared" ca="1" si="0"/>
        <v>25068</v>
      </c>
      <c r="G21" s="57">
        <f t="shared" ca="1" si="0"/>
        <v>86700</v>
      </c>
      <c r="H21" s="57">
        <f t="shared" ca="1" si="0"/>
        <v>83200</v>
      </c>
      <c r="I21" s="57">
        <f t="shared" ca="1" si="0"/>
        <v>86700</v>
      </c>
      <c r="J21" s="57">
        <f t="shared" ca="1" si="0"/>
        <v>86700</v>
      </c>
      <c r="K21" s="57">
        <f t="shared" ca="1" si="0"/>
        <v>83200</v>
      </c>
      <c r="L21" s="57">
        <f t="shared" ca="1" si="0"/>
        <v>86700</v>
      </c>
      <c r="M21" s="57">
        <f t="shared" ca="1" si="0"/>
        <v>86700</v>
      </c>
      <c r="N21" s="57">
        <f t="shared" ca="1" si="0"/>
        <v>180528</v>
      </c>
      <c r="O21" s="57">
        <f t="shared" ca="1" si="0"/>
        <v>133152.00000000006</v>
      </c>
      <c r="P21" s="57">
        <f t="shared" ca="1" si="0"/>
        <v>239328</v>
      </c>
      <c r="Q21" s="57">
        <f t="shared" ca="1" si="0"/>
        <v>-58368</v>
      </c>
      <c r="R21" s="57">
        <f t="shared" ca="1" si="0"/>
        <v>7068</v>
      </c>
      <c r="S21" s="57">
        <f t="shared" ca="1" si="0"/>
        <v>86700</v>
      </c>
      <c r="T21" s="57">
        <f t="shared" ca="1" si="0"/>
        <v>83200</v>
      </c>
      <c r="U21" s="57">
        <f t="shared" ca="1" si="0"/>
        <v>86700</v>
      </c>
      <c r="V21" s="57">
        <f t="shared" ca="1" si="0"/>
        <v>86700</v>
      </c>
      <c r="W21" s="57">
        <f t="shared" ca="1" si="0"/>
        <v>83200</v>
      </c>
      <c r="X21" s="57">
        <f t="shared" ca="1" si="0"/>
        <v>86700</v>
      </c>
      <c r="Y21" s="57">
        <f t="shared" ca="1" si="0"/>
        <v>86700</v>
      </c>
      <c r="Z21" s="57">
        <f t="shared" ca="1" si="0"/>
        <v>180528</v>
      </c>
      <c r="AA21" s="58">
        <f t="shared" ca="1" si="0"/>
        <v>133152.00000000006</v>
      </c>
    </row>
    <row r="22" spans="1:27" ht="3" customHeight="1" thickBot="1" x14ac:dyDescent="0.3">
      <c r="A22" s="47"/>
      <c r="B22" s="56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</row>
    <row r="23" spans="1:27" ht="54" customHeight="1" thickBot="1" x14ac:dyDescent="0.3">
      <c r="B23" s="59" t="s">
        <v>39</v>
      </c>
      <c r="C23" s="60">
        <f>-C6</f>
        <v>-718000</v>
      </c>
      <c r="D23" s="61">
        <f t="shared" ref="D23:AA23" ca="1" si="1">C23+D21</f>
        <v>-460672</v>
      </c>
      <c r="E23" s="61">
        <f t="shared" ca="1" si="1"/>
        <v>-501040</v>
      </c>
      <c r="F23" s="61">
        <f t="shared" ca="1" si="1"/>
        <v>-475972</v>
      </c>
      <c r="G23" s="61">
        <f t="shared" ca="1" si="1"/>
        <v>-389272</v>
      </c>
      <c r="H23" s="61">
        <f t="shared" ca="1" si="1"/>
        <v>-306072</v>
      </c>
      <c r="I23" s="61">
        <f t="shared" ca="1" si="1"/>
        <v>-219372</v>
      </c>
      <c r="J23" s="61">
        <f t="shared" ca="1" si="1"/>
        <v>-132672</v>
      </c>
      <c r="K23" s="61">
        <f t="shared" ca="1" si="1"/>
        <v>-49472</v>
      </c>
      <c r="L23" s="61">
        <f t="shared" ca="1" si="1"/>
        <v>37228</v>
      </c>
      <c r="M23" s="61">
        <f t="shared" ca="1" si="1"/>
        <v>123928</v>
      </c>
      <c r="N23" s="61">
        <f t="shared" ca="1" si="1"/>
        <v>304456</v>
      </c>
      <c r="O23" s="61">
        <f t="shared" ca="1" si="1"/>
        <v>437608.00000000006</v>
      </c>
      <c r="P23" s="61">
        <f t="shared" ca="1" si="1"/>
        <v>676936</v>
      </c>
      <c r="Q23" s="61">
        <f t="shared" ca="1" si="1"/>
        <v>618568</v>
      </c>
      <c r="R23" s="61">
        <f t="shared" ca="1" si="1"/>
        <v>625636</v>
      </c>
      <c r="S23" s="61">
        <f t="shared" ca="1" si="1"/>
        <v>712336</v>
      </c>
      <c r="T23" s="61">
        <f t="shared" ca="1" si="1"/>
        <v>795536</v>
      </c>
      <c r="U23" s="61">
        <f t="shared" ca="1" si="1"/>
        <v>882236</v>
      </c>
      <c r="V23" s="61">
        <f t="shared" ca="1" si="1"/>
        <v>968936</v>
      </c>
      <c r="W23" s="61">
        <f t="shared" ca="1" si="1"/>
        <v>1052136</v>
      </c>
      <c r="X23" s="61">
        <f t="shared" ca="1" si="1"/>
        <v>1138836</v>
      </c>
      <c r="Y23" s="61">
        <f t="shared" ca="1" si="1"/>
        <v>1225536</v>
      </c>
      <c r="Z23" s="61">
        <f t="shared" ca="1" si="1"/>
        <v>1406064</v>
      </c>
      <c r="AA23" s="62">
        <f t="shared" ca="1" si="1"/>
        <v>1539216</v>
      </c>
    </row>
    <row r="24" spans="1:27" ht="15.75" customHeight="1" x14ac:dyDescent="0.25"/>
    <row r="25" spans="1:27" ht="15.75" customHeight="1" x14ac:dyDescent="0.25"/>
    <row r="26" spans="1:27" ht="15.75" customHeight="1" x14ac:dyDescent="0.25"/>
    <row r="27" spans="1:27" ht="15.75" customHeight="1" x14ac:dyDescent="0.3">
      <c r="B27" s="248" t="s">
        <v>79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</row>
    <row r="28" spans="1:27" ht="28.5" customHeight="1" x14ac:dyDescent="0.25">
      <c r="B28" s="244" t="s">
        <v>27</v>
      </c>
      <c r="C28" s="246" t="s">
        <v>28</v>
      </c>
      <c r="D28" s="40">
        <v>1</v>
      </c>
      <c r="E28" s="40">
        <v>2</v>
      </c>
      <c r="F28" s="40">
        <v>3</v>
      </c>
      <c r="G28" s="40">
        <v>4</v>
      </c>
      <c r="H28" s="40">
        <v>5</v>
      </c>
      <c r="I28" s="40">
        <v>6</v>
      </c>
      <c r="J28" s="40">
        <v>7</v>
      </c>
      <c r="K28" s="40">
        <v>8</v>
      </c>
      <c r="L28" s="40">
        <v>9</v>
      </c>
      <c r="M28" s="40">
        <v>10</v>
      </c>
      <c r="N28" s="40">
        <v>11</v>
      </c>
      <c r="O28" s="40">
        <v>12</v>
      </c>
      <c r="P28" s="40">
        <v>13</v>
      </c>
      <c r="Q28" s="40">
        <v>14</v>
      </c>
      <c r="R28" s="40">
        <v>15</v>
      </c>
      <c r="S28" s="40">
        <v>16</v>
      </c>
      <c r="T28" s="40">
        <v>17</v>
      </c>
      <c r="U28" s="40">
        <v>18</v>
      </c>
      <c r="V28" s="40">
        <v>19</v>
      </c>
      <c r="W28" s="40">
        <v>20</v>
      </c>
      <c r="X28" s="40">
        <v>21</v>
      </c>
      <c r="Y28" s="40">
        <v>22</v>
      </c>
      <c r="Z28" s="40">
        <v>23</v>
      </c>
      <c r="AA28" s="41">
        <v>24</v>
      </c>
    </row>
    <row r="29" spans="1:27" ht="15.75" customHeight="1" x14ac:dyDescent="0.25">
      <c r="B29" s="245"/>
      <c r="C29" s="247"/>
      <c r="D29" s="42">
        <f ca="1">'Финансовая модель'!C3</f>
        <v>43820</v>
      </c>
      <c r="E29" s="42">
        <f ca="1">'Финансовая модель'!D3</f>
        <v>43851</v>
      </c>
      <c r="F29" s="42">
        <f ca="1">'Финансовая модель'!E3</f>
        <v>43882</v>
      </c>
      <c r="G29" s="42">
        <f ca="1">'Финансовая модель'!F3</f>
        <v>43911</v>
      </c>
      <c r="H29" s="42">
        <f ca="1">'Финансовая модель'!G3</f>
        <v>43942</v>
      </c>
      <c r="I29" s="42">
        <f ca="1">'Финансовая модель'!H3</f>
        <v>43972</v>
      </c>
      <c r="J29" s="42">
        <f ca="1">'Финансовая модель'!I3</f>
        <v>44003</v>
      </c>
      <c r="K29" s="42">
        <f ca="1">'Финансовая модель'!J3</f>
        <v>44033</v>
      </c>
      <c r="L29" s="42">
        <f ca="1">'Финансовая модель'!K3</f>
        <v>44064</v>
      </c>
      <c r="M29" s="42">
        <f ca="1">'Финансовая модель'!L3</f>
        <v>44095</v>
      </c>
      <c r="N29" s="42">
        <f ca="1">'Финансовая модель'!M3</f>
        <v>44125</v>
      </c>
      <c r="O29" s="42">
        <f ca="1">'Финансовая модель'!N3</f>
        <v>44156</v>
      </c>
      <c r="P29" s="42">
        <f ca="1">'Финансовая модель'!O3</f>
        <v>44186</v>
      </c>
      <c r="Q29" s="42">
        <f ca="1">'Финансовая модель'!P3</f>
        <v>44217</v>
      </c>
      <c r="R29" s="42">
        <f ca="1">'Финансовая модель'!Q3</f>
        <v>44248</v>
      </c>
      <c r="S29" s="42">
        <f ca="1">'Финансовая модель'!R3</f>
        <v>44276</v>
      </c>
      <c r="T29" s="42">
        <f ca="1">'Финансовая модель'!S3</f>
        <v>44307</v>
      </c>
      <c r="U29" s="42">
        <f ca="1">'Финансовая модель'!T3</f>
        <v>44337</v>
      </c>
      <c r="V29" s="42">
        <f ca="1">'Финансовая модель'!U3</f>
        <v>44368</v>
      </c>
      <c r="W29" s="42">
        <f ca="1">'Финансовая модель'!V3</f>
        <v>44398</v>
      </c>
      <c r="X29" s="42">
        <f ca="1">'Финансовая модель'!W3</f>
        <v>44429</v>
      </c>
      <c r="Y29" s="42">
        <f ca="1">'Финансовая модель'!X3</f>
        <v>44460</v>
      </c>
      <c r="Z29" s="42">
        <f ca="1">'Финансовая модель'!Y3</f>
        <v>44490</v>
      </c>
      <c r="AA29" s="42">
        <f ca="1">'Финансовая модель'!Z3</f>
        <v>44521</v>
      </c>
    </row>
    <row r="30" spans="1:27" ht="15.75" customHeight="1" x14ac:dyDescent="0.25">
      <c r="B30" s="43" t="s">
        <v>29</v>
      </c>
      <c r="C30" s="44"/>
      <c r="D30" s="45">
        <f ca="1">'Финансовая модель'!C8</f>
        <v>507000</v>
      </c>
      <c r="E30" s="45">
        <f ca="1">'Финансовая модель'!D8</f>
        <v>108000</v>
      </c>
      <c r="F30" s="45">
        <f ca="1">'Финансовая модель'!E8</f>
        <v>192000</v>
      </c>
      <c r="G30" s="45">
        <f ca="1">'Финансовая модель'!F8</f>
        <v>300000</v>
      </c>
      <c r="H30" s="45">
        <f ca="1">'Финансовая модель'!G8</f>
        <v>300000</v>
      </c>
      <c r="I30" s="45">
        <f ca="1">'Финансовая модель'!H8</f>
        <v>300000</v>
      </c>
      <c r="J30" s="45">
        <f ca="1">'Финансовая модель'!I8</f>
        <v>300000</v>
      </c>
      <c r="K30" s="45">
        <f ca="1">'Финансовая модель'!J8</f>
        <v>300000</v>
      </c>
      <c r="L30" s="45">
        <f ca="1">'Финансовая модель'!K8</f>
        <v>300000</v>
      </c>
      <c r="M30" s="45">
        <f ca="1">'Финансовая модель'!L8</f>
        <v>300000</v>
      </c>
      <c r="N30" s="45">
        <f ca="1">'Финансовая модель'!M8</f>
        <v>432000</v>
      </c>
      <c r="O30" s="45">
        <f ca="1">'Финансовая модель'!N8</f>
        <v>363000.00000000006</v>
      </c>
      <c r="P30" s="45">
        <f ca="1">'Финансовая модель'!O8</f>
        <v>507000</v>
      </c>
      <c r="Q30" s="45">
        <f ca="1">'Финансовая модель'!P8</f>
        <v>108000</v>
      </c>
      <c r="R30" s="45">
        <f ca="1">'Финансовая модель'!Q8</f>
        <v>192000</v>
      </c>
      <c r="S30" s="45">
        <f ca="1">'Финансовая модель'!R8</f>
        <v>300000</v>
      </c>
      <c r="T30" s="45">
        <f ca="1">'Финансовая модель'!S8</f>
        <v>300000</v>
      </c>
      <c r="U30" s="45">
        <f ca="1">'Финансовая модель'!T8</f>
        <v>300000</v>
      </c>
      <c r="V30" s="45">
        <f ca="1">'Финансовая модель'!U8</f>
        <v>300000</v>
      </c>
      <c r="W30" s="45">
        <f ca="1">'Финансовая модель'!V8</f>
        <v>300000</v>
      </c>
      <c r="X30" s="45">
        <f ca="1">'Финансовая модель'!W8</f>
        <v>300000</v>
      </c>
      <c r="Y30" s="45">
        <f ca="1">'Финансовая модель'!X8</f>
        <v>300000</v>
      </c>
      <c r="Z30" s="45">
        <f ca="1">'Финансовая модель'!Y8</f>
        <v>432000</v>
      </c>
      <c r="AA30" s="46">
        <f ca="1">'Финансовая модель'!Z8</f>
        <v>363000.00000000006</v>
      </c>
    </row>
    <row r="31" spans="1:27" ht="3" customHeight="1" x14ac:dyDescent="0.25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</row>
    <row r="32" spans="1:27" ht="15.75" customHeight="1" x14ac:dyDescent="0.25">
      <c r="B32" s="52" t="s">
        <v>36</v>
      </c>
      <c r="C32" s="53"/>
      <c r="D32" s="54">
        <f ca="1">'Финансовая модель'!C22</f>
        <v>249672</v>
      </c>
      <c r="E32" s="54">
        <f ca="1">'Финансовая модель'!D22</f>
        <v>145868</v>
      </c>
      <c r="F32" s="54">
        <f ca="1">'Финансовая модель'!E22</f>
        <v>166932</v>
      </c>
      <c r="G32" s="54">
        <f ca="1">'Финансовая модель'!F22</f>
        <v>213300</v>
      </c>
      <c r="H32" s="54">
        <f ca="1">'Финансовая модель'!G22</f>
        <v>214300</v>
      </c>
      <c r="I32" s="54">
        <f ca="1">'Финансовая модель'!H22</f>
        <v>213300</v>
      </c>
      <c r="J32" s="54">
        <f ca="1">'Финансовая модель'!I22</f>
        <v>213300</v>
      </c>
      <c r="K32" s="54">
        <f ca="1">'Финансовая модель'!J22</f>
        <v>214300</v>
      </c>
      <c r="L32" s="54">
        <f ca="1">'Финансовая модель'!K22</f>
        <v>213300</v>
      </c>
      <c r="M32" s="54">
        <f ca="1">'Финансовая модель'!L22</f>
        <v>213300</v>
      </c>
      <c r="N32" s="54">
        <f ca="1">'Финансовая модель'!M22</f>
        <v>248972</v>
      </c>
      <c r="O32" s="54">
        <f ca="1">'Финансовая модель'!N22</f>
        <v>229848</v>
      </c>
      <c r="P32" s="54">
        <f ca="1">'Финансовая модель'!O22</f>
        <v>267672</v>
      </c>
      <c r="Q32" s="54">
        <f ca="1">'Финансовая модель'!P22</f>
        <v>163868</v>
      </c>
      <c r="R32" s="54">
        <f ca="1">'Финансовая модель'!Q22</f>
        <v>184932</v>
      </c>
      <c r="S32" s="54">
        <f ca="1">'Финансовая модель'!R22</f>
        <v>213300</v>
      </c>
      <c r="T32" s="54">
        <f ca="1">'Финансовая модель'!S22</f>
        <v>214300</v>
      </c>
      <c r="U32" s="54">
        <f ca="1">'Финансовая модель'!T22</f>
        <v>213300</v>
      </c>
      <c r="V32" s="54">
        <f ca="1">'Финансовая модель'!U22</f>
        <v>213300</v>
      </c>
      <c r="W32" s="54">
        <f ca="1">'Финансовая модель'!V22</f>
        <v>214300</v>
      </c>
      <c r="X32" s="54">
        <f ca="1">'Финансовая модель'!W22</f>
        <v>213300</v>
      </c>
      <c r="Y32" s="54">
        <f ca="1">'Финансовая модель'!X22</f>
        <v>213300</v>
      </c>
      <c r="Z32" s="54">
        <f ca="1">'Финансовая модель'!Y22</f>
        <v>248972</v>
      </c>
      <c r="AA32" s="55">
        <f ca="1">'Финансовая модель'!Z22</f>
        <v>229848</v>
      </c>
    </row>
    <row r="33" spans="1:27" ht="3" customHeight="1" x14ac:dyDescent="0.25">
      <c r="A33" s="47"/>
      <c r="B33" s="5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</row>
    <row r="34" spans="1:27" ht="15.75" customHeight="1" x14ac:dyDescent="0.25">
      <c r="B34" s="52" t="s">
        <v>37</v>
      </c>
      <c r="C34" s="53"/>
      <c r="D34" s="54">
        <f>'Финансовая модель'!C26</f>
        <v>0</v>
      </c>
      <c r="E34" s="54">
        <f>'Финансовая модель'!D26</f>
        <v>2500</v>
      </c>
      <c r="F34" s="54">
        <f>'Финансовая модель'!E26</f>
        <v>0</v>
      </c>
      <c r="G34" s="54">
        <f>'Финансовая модель'!F26</f>
        <v>0</v>
      </c>
      <c r="H34" s="54">
        <f>'Финансовая модель'!G26</f>
        <v>2500</v>
      </c>
      <c r="I34" s="54">
        <f>'Финансовая модель'!H26</f>
        <v>0</v>
      </c>
      <c r="J34" s="54">
        <f>'Финансовая модель'!I26</f>
        <v>0</v>
      </c>
      <c r="K34" s="54">
        <f>'Финансовая модель'!J26</f>
        <v>2500</v>
      </c>
      <c r="L34" s="54">
        <f>'Финансовая модель'!K26</f>
        <v>0</v>
      </c>
      <c r="M34" s="54">
        <f>'Финансовая модель'!L26</f>
        <v>0</v>
      </c>
      <c r="N34" s="54">
        <f>'Финансовая модель'!M26</f>
        <v>2500</v>
      </c>
      <c r="O34" s="54">
        <f>'Финансовая модель'!N26</f>
        <v>0</v>
      </c>
      <c r="P34" s="54">
        <f>'Финансовая модель'!O26</f>
        <v>0</v>
      </c>
      <c r="Q34" s="54">
        <f>'Финансовая модель'!P26</f>
        <v>2500</v>
      </c>
      <c r="R34" s="54">
        <f>'Финансовая модель'!Q26</f>
        <v>0</v>
      </c>
      <c r="S34" s="54">
        <f>'Финансовая модель'!R26</f>
        <v>0</v>
      </c>
      <c r="T34" s="54">
        <f>'Финансовая модель'!S26</f>
        <v>2500</v>
      </c>
      <c r="U34" s="54">
        <f>'Финансовая модель'!T26</f>
        <v>0</v>
      </c>
      <c r="V34" s="54">
        <f>'Финансовая модель'!U26</f>
        <v>0</v>
      </c>
      <c r="W34" s="54">
        <f>'Финансовая модель'!V26</f>
        <v>2500</v>
      </c>
      <c r="X34" s="54">
        <f>'Финансовая модель'!W26</f>
        <v>0</v>
      </c>
      <c r="Y34" s="54">
        <f>'Финансовая модель'!X26</f>
        <v>0</v>
      </c>
      <c r="Z34" s="54">
        <f>'Финансовая модель'!Y26</f>
        <v>2500</v>
      </c>
      <c r="AA34" s="55">
        <f>'Финансовая модель'!Z26</f>
        <v>0</v>
      </c>
    </row>
    <row r="35" spans="1:27" ht="3" customHeight="1" x14ac:dyDescent="0.25">
      <c r="A35" s="47"/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</row>
    <row r="36" spans="1:27" ht="15.75" customHeight="1" x14ac:dyDescent="0.25">
      <c r="B36" s="52" t="s">
        <v>19</v>
      </c>
      <c r="C36" s="53">
        <f t="shared" ref="C36:AA36" si="2">C30-C32-C34</f>
        <v>0</v>
      </c>
      <c r="D36" s="57">
        <f t="shared" ca="1" si="2"/>
        <v>257328</v>
      </c>
      <c r="E36" s="57">
        <f t="shared" ca="1" si="2"/>
        <v>-40368</v>
      </c>
      <c r="F36" s="57">
        <f t="shared" ca="1" si="2"/>
        <v>25068</v>
      </c>
      <c r="G36" s="57">
        <f t="shared" ca="1" si="2"/>
        <v>86700</v>
      </c>
      <c r="H36" s="57">
        <f t="shared" ca="1" si="2"/>
        <v>83200</v>
      </c>
      <c r="I36" s="57">
        <f t="shared" ca="1" si="2"/>
        <v>86700</v>
      </c>
      <c r="J36" s="57">
        <f t="shared" ca="1" si="2"/>
        <v>86700</v>
      </c>
      <c r="K36" s="57">
        <f t="shared" ca="1" si="2"/>
        <v>83200</v>
      </c>
      <c r="L36" s="57">
        <f t="shared" ca="1" si="2"/>
        <v>86700</v>
      </c>
      <c r="M36" s="57">
        <f t="shared" ca="1" si="2"/>
        <v>86700</v>
      </c>
      <c r="N36" s="57">
        <f t="shared" ca="1" si="2"/>
        <v>180528</v>
      </c>
      <c r="O36" s="57">
        <f t="shared" ca="1" si="2"/>
        <v>133152.00000000006</v>
      </c>
      <c r="P36" s="57">
        <f t="shared" ca="1" si="2"/>
        <v>239328</v>
      </c>
      <c r="Q36" s="57">
        <f t="shared" ca="1" si="2"/>
        <v>-58368</v>
      </c>
      <c r="R36" s="57">
        <f t="shared" ca="1" si="2"/>
        <v>7068</v>
      </c>
      <c r="S36" s="57">
        <f t="shared" ca="1" si="2"/>
        <v>86700</v>
      </c>
      <c r="T36" s="57">
        <f t="shared" ca="1" si="2"/>
        <v>83200</v>
      </c>
      <c r="U36" s="57">
        <f t="shared" ca="1" si="2"/>
        <v>86700</v>
      </c>
      <c r="V36" s="57">
        <f t="shared" ca="1" si="2"/>
        <v>86700</v>
      </c>
      <c r="W36" s="57">
        <f t="shared" ca="1" si="2"/>
        <v>83200</v>
      </c>
      <c r="X36" s="57">
        <f t="shared" ca="1" si="2"/>
        <v>86700</v>
      </c>
      <c r="Y36" s="57">
        <f t="shared" ca="1" si="2"/>
        <v>86700</v>
      </c>
      <c r="Z36" s="57">
        <f t="shared" ca="1" si="2"/>
        <v>180528</v>
      </c>
      <c r="AA36" s="58">
        <f t="shared" ca="1" si="2"/>
        <v>133152.00000000006</v>
      </c>
    </row>
    <row r="37" spans="1:27" ht="3" customHeight="1" thickBot="1" x14ac:dyDescent="0.3">
      <c r="A37" s="47"/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27" ht="45" customHeight="1" thickBot="1" x14ac:dyDescent="0.3">
      <c r="B38" s="59" t="s">
        <v>39</v>
      </c>
      <c r="C38" s="60">
        <f>-D6</f>
        <v>-808000</v>
      </c>
      <c r="D38" s="61">
        <f t="shared" ref="D38:AA38" ca="1" si="3">C38+D36</f>
        <v>-550672</v>
      </c>
      <c r="E38" s="61">
        <f t="shared" ca="1" si="3"/>
        <v>-591040</v>
      </c>
      <c r="F38" s="61">
        <f t="shared" ca="1" si="3"/>
        <v>-565972</v>
      </c>
      <c r="G38" s="61">
        <f t="shared" ca="1" si="3"/>
        <v>-479272</v>
      </c>
      <c r="H38" s="61">
        <f t="shared" ca="1" si="3"/>
        <v>-396072</v>
      </c>
      <c r="I38" s="61">
        <f t="shared" ca="1" si="3"/>
        <v>-309372</v>
      </c>
      <c r="J38" s="61">
        <f t="shared" ca="1" si="3"/>
        <v>-222672</v>
      </c>
      <c r="K38" s="61">
        <f t="shared" ca="1" si="3"/>
        <v>-139472</v>
      </c>
      <c r="L38" s="61">
        <f t="shared" ca="1" si="3"/>
        <v>-52772</v>
      </c>
      <c r="M38" s="61">
        <f t="shared" ca="1" si="3"/>
        <v>33928</v>
      </c>
      <c r="N38" s="61">
        <f t="shared" ca="1" si="3"/>
        <v>214456</v>
      </c>
      <c r="O38" s="61">
        <f t="shared" ca="1" si="3"/>
        <v>347608.00000000006</v>
      </c>
      <c r="P38" s="61">
        <f t="shared" ca="1" si="3"/>
        <v>586936</v>
      </c>
      <c r="Q38" s="61">
        <f t="shared" ca="1" si="3"/>
        <v>528568</v>
      </c>
      <c r="R38" s="61">
        <f t="shared" ca="1" si="3"/>
        <v>535636</v>
      </c>
      <c r="S38" s="61">
        <f t="shared" ca="1" si="3"/>
        <v>622336</v>
      </c>
      <c r="T38" s="61">
        <f t="shared" ca="1" si="3"/>
        <v>705536</v>
      </c>
      <c r="U38" s="61">
        <f t="shared" ca="1" si="3"/>
        <v>792236</v>
      </c>
      <c r="V38" s="61">
        <f t="shared" ca="1" si="3"/>
        <v>878936</v>
      </c>
      <c r="W38" s="61">
        <f t="shared" ca="1" si="3"/>
        <v>962136</v>
      </c>
      <c r="X38" s="61">
        <f t="shared" ca="1" si="3"/>
        <v>1048836</v>
      </c>
      <c r="Y38" s="61">
        <f t="shared" ca="1" si="3"/>
        <v>1135536</v>
      </c>
      <c r="Z38" s="61">
        <f t="shared" ca="1" si="3"/>
        <v>1316064</v>
      </c>
      <c r="AA38" s="62">
        <f t="shared" ca="1" si="3"/>
        <v>1449216</v>
      </c>
    </row>
    <row r="39" spans="1:27" ht="15.75" customHeight="1" x14ac:dyDescent="0.25"/>
    <row r="40" spans="1:27" ht="15.75" customHeight="1" x14ac:dyDescent="0.25"/>
    <row r="41" spans="1:27" ht="15.75" customHeight="1" x14ac:dyDescent="0.25"/>
    <row r="42" spans="1:27" ht="15.75" customHeight="1" x14ac:dyDescent="0.25"/>
    <row r="43" spans="1:27" ht="15.75" customHeight="1" x14ac:dyDescent="0.25"/>
    <row r="44" spans="1:27" ht="15.75" customHeight="1" x14ac:dyDescent="0.25"/>
    <row r="45" spans="1:27" ht="15.75" customHeight="1" x14ac:dyDescent="0.25"/>
    <row r="46" spans="1:27" ht="15.75" customHeight="1" x14ac:dyDescent="0.25"/>
    <row r="47" spans="1:27" ht="15.75" customHeight="1" x14ac:dyDescent="0.25"/>
    <row r="48" spans="1:2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12:AA12"/>
    <mergeCell ref="B13:B14"/>
    <mergeCell ref="C13:C14"/>
    <mergeCell ref="B27:AA27"/>
    <mergeCell ref="B28:B29"/>
    <mergeCell ref="C28:C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Исходные данные</vt:lpstr>
      <vt:lpstr>Инвестиции</vt:lpstr>
      <vt:lpstr>Ключевые показатели</vt:lpstr>
      <vt:lpstr>Финансовая модель</vt:lpstr>
      <vt:lpstr>Динамика</vt:lpstr>
      <vt:lpstr>Упрощенная фин модель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РЫЖИКИ МУРЫЖИКИ</dc:creator>
  <cp:lastModifiedBy>Пользователь Windows</cp:lastModifiedBy>
  <dcterms:created xsi:type="dcterms:W3CDTF">2015-06-05T18:19:34Z</dcterms:created>
  <dcterms:modified xsi:type="dcterms:W3CDTF">2019-11-21T12:03:26Z</dcterms:modified>
</cp:coreProperties>
</file>